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03_Produkte\03_GesR\"/>
    </mc:Choice>
  </mc:AlternateContent>
  <xr:revisionPtr revIDLastSave="0" documentId="13_ncr:1_{4196F777-36AC-4E3C-A9AA-4083E8E04BAC}" xr6:coauthVersionLast="47" xr6:coauthVersionMax="47" xr10:uidLastSave="{00000000-0000-0000-0000-000000000000}"/>
  <workbookProtection workbookAlgorithmName="SHA-512" workbookHashValue="pfHI/K5WroyzeS/5zhq/8eo2zmUFntrhjM6vNX9RUfPRAkQFkDNloCtGfSkU2Se/m8cA5lGDt4rQVJFyNI+YJw==" workbookSaltValue="dH5juRgbppELL2TVt7idig==" workbookSpinCount="100000" lockStructure="1"/>
  <bookViews>
    <workbookView xWindow="-120" yWindow="-120" windowWidth="29040" windowHeight="15840" activeTab="3" xr2:uid="{00000000-000D-0000-FFFF-FFFF00000000}"/>
  </bookViews>
  <sheets>
    <sheet name="Notes + Master data" sheetId="10" r:id="rId1"/>
    <sheet name="1. Invest + %" sheetId="7" r:id="rId2"/>
    <sheet name="2. Invest + Value" sheetId="8" r:id="rId3"/>
    <sheet name="3. Value + %" sheetId="9" r:id="rId4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40087.9967824073</definedName>
    <definedName name="IQ_NTM" hidden="1">6000</definedName>
    <definedName name="IQ_TODAY" hidden="1">0</definedName>
    <definedName name="IQ_WEEK" hidden="1">50000</definedName>
    <definedName name="IQ_YTD" hidden="1">3000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8" l="1"/>
  <c r="B1" i="9" s="1"/>
  <c r="D11" i="9"/>
  <c r="D7" i="9"/>
  <c r="D8" i="9"/>
  <c r="D9" i="9"/>
  <c r="D10" i="9"/>
  <c r="A23" i="9" l="1"/>
  <c r="A19" i="9"/>
  <c r="B19" i="9"/>
  <c r="C19" i="9"/>
  <c r="D19" i="9"/>
  <c r="A20" i="9"/>
  <c r="A35" i="9" s="1"/>
  <c r="B20" i="9"/>
  <c r="C20" i="9"/>
  <c r="D20" i="9"/>
  <c r="A21" i="9"/>
  <c r="B21" i="9"/>
  <c r="C21" i="9"/>
  <c r="D21" i="9"/>
  <c r="A22" i="9"/>
  <c r="A37" i="9" s="1"/>
  <c r="B22" i="9"/>
  <c r="C22" i="9"/>
  <c r="D22" i="9"/>
  <c r="A34" i="9"/>
  <c r="A36" i="9"/>
  <c r="B18" i="8"/>
  <c r="C18" i="8"/>
  <c r="D18" i="8"/>
  <c r="B19" i="8"/>
  <c r="C19" i="8"/>
  <c r="D19" i="8"/>
  <c r="B20" i="8"/>
  <c r="C20" i="8"/>
  <c r="D20" i="8"/>
  <c r="B21" i="8"/>
  <c r="C21" i="8"/>
  <c r="D21" i="8"/>
  <c r="B33" i="7"/>
  <c r="B34" i="7"/>
  <c r="B35" i="7"/>
  <c r="B36" i="7"/>
  <c r="B32" i="7"/>
  <c r="B18" i="7"/>
  <c r="C18" i="7"/>
  <c r="D18" i="7"/>
  <c r="B19" i="7"/>
  <c r="C19" i="7"/>
  <c r="D19" i="7"/>
  <c r="B20" i="7"/>
  <c r="C20" i="7"/>
  <c r="D20" i="7"/>
  <c r="B21" i="7"/>
  <c r="C21" i="7"/>
  <c r="D21" i="7"/>
  <c r="D12" i="7"/>
  <c r="A23" i="7" s="1"/>
  <c r="A38" i="7" s="1"/>
  <c r="D11" i="7"/>
  <c r="D11" i="8" s="1"/>
  <c r="A22" i="8" s="1"/>
  <c r="D10" i="7"/>
  <c r="A21" i="7" s="1"/>
  <c r="A36" i="7" s="1"/>
  <c r="D9" i="7"/>
  <c r="A20" i="7" s="1"/>
  <c r="A35" i="7" s="1"/>
  <c r="D8" i="7"/>
  <c r="A19" i="7" s="1"/>
  <c r="A34" i="7" s="1"/>
  <c r="D7" i="7"/>
  <c r="A18" i="7" s="1"/>
  <c r="A33" i="7" s="1"/>
  <c r="D6" i="7"/>
  <c r="D5" i="7"/>
  <c r="D5" i="8" s="1"/>
  <c r="D5" i="9" s="1"/>
  <c r="D12" i="8" l="1"/>
  <c r="D7" i="8"/>
  <c r="A18" i="8" s="1"/>
  <c r="A33" i="8" s="1"/>
  <c r="D10" i="8"/>
  <c r="A21" i="8" s="1"/>
  <c r="A36" i="8" s="1"/>
  <c r="D9" i="8"/>
  <c r="A20" i="8" s="1"/>
  <c r="A35" i="8" s="1"/>
  <c r="D8" i="8"/>
  <c r="A19" i="8" s="1"/>
  <c r="A34" i="8" s="1"/>
  <c r="A23" i="8" l="1"/>
  <c r="A38" i="8" s="1"/>
  <c r="D12" i="9"/>
  <c r="A24" i="9" s="1"/>
  <c r="A39" i="9" s="1"/>
  <c r="B1" i="7"/>
  <c r="A1" i="7"/>
  <c r="B31" i="7"/>
  <c r="B40" i="7" s="1"/>
  <c r="I4" i="7" l="1"/>
  <c r="I4" i="8"/>
  <c r="I5" i="9"/>
  <c r="E45" i="9" s="1"/>
  <c r="C7" i="9"/>
  <c r="E43" i="9" l="1"/>
  <c r="I7" i="9"/>
  <c r="G31" i="9"/>
  <c r="A1" i="8" l="1"/>
  <c r="A1" i="9" s="1"/>
  <c r="D6" i="8"/>
  <c r="A38" i="9"/>
  <c r="A17" i="9"/>
  <c r="A32" i="9" s="1"/>
  <c r="D6" i="9" l="1"/>
  <c r="A18" i="9" s="1"/>
  <c r="A33" i="9" s="1"/>
  <c r="A37" i="8"/>
  <c r="D17" i="8"/>
  <c r="C17" i="8"/>
  <c r="B17" i="8"/>
  <c r="A17" i="8"/>
  <c r="A32" i="8" s="1"/>
  <c r="D16" i="8"/>
  <c r="C16" i="8"/>
  <c r="B16" i="8"/>
  <c r="A16" i="8"/>
  <c r="A31" i="8" s="1"/>
  <c r="A22" i="7" l="1"/>
  <c r="A37" i="7" s="1"/>
  <c r="D17" i="7"/>
  <c r="C17" i="7"/>
  <c r="B17" i="7"/>
  <c r="A17" i="7"/>
  <c r="A32" i="7" s="1"/>
  <c r="D16" i="7"/>
  <c r="C16" i="7"/>
  <c r="B16" i="7"/>
  <c r="A16" i="7"/>
  <c r="A31" i="7" s="1"/>
  <c r="C38" i="7" l="1"/>
  <c r="C33" i="7" l="1"/>
  <c r="C34" i="7"/>
  <c r="C35" i="7"/>
  <c r="C36" i="7"/>
  <c r="C32" i="7"/>
  <c r="C6" i="7"/>
  <c r="C31" i="7"/>
  <c r="C37" i="7"/>
  <c r="C40" i="7" l="1"/>
  <c r="C7" i="8"/>
  <c r="I7" i="8" s="1"/>
  <c r="I6" i="8" s="1"/>
  <c r="G30" i="8" l="1"/>
  <c r="I6" i="7" l="1"/>
  <c r="I7" i="7" s="1"/>
  <c r="C7" i="7" s="1"/>
  <c r="C8" i="7" s="1"/>
  <c r="G30" i="7" l="1"/>
  <c r="G38" i="7" l="1"/>
  <c r="G34" i="7"/>
  <c r="G36" i="7"/>
  <c r="G35" i="7"/>
  <c r="G32" i="7"/>
  <c r="G33" i="7"/>
  <c r="G11" i="7"/>
  <c r="D37" i="7" s="1"/>
  <c r="F9" i="7"/>
  <c r="F10" i="7"/>
  <c r="G10" i="7"/>
  <c r="D36" i="7" s="1"/>
  <c r="B36" i="8" s="1"/>
  <c r="B37" i="9" s="1"/>
  <c r="G9" i="7"/>
  <c r="D35" i="7" s="1"/>
  <c r="B35" i="8" s="1"/>
  <c r="B36" i="9" s="1"/>
  <c r="F11" i="7"/>
  <c r="G31" i="7"/>
  <c r="G37" i="7"/>
  <c r="F8" i="7"/>
  <c r="C12" i="7"/>
  <c r="F7" i="7"/>
  <c r="G5" i="7"/>
  <c r="D31" i="7" s="1"/>
  <c r="F5" i="7"/>
  <c r="G6" i="7"/>
  <c r="D32" i="7" s="1"/>
  <c r="G7" i="7"/>
  <c r="D33" i="7" s="1"/>
  <c r="B33" i="8" s="1"/>
  <c r="B34" i="9" s="1"/>
  <c r="G8" i="7"/>
  <c r="D34" i="7" s="1"/>
  <c r="B34" i="8" s="1"/>
  <c r="B35" i="9" s="1"/>
  <c r="F6" i="7"/>
  <c r="G12" i="7"/>
  <c r="F12" i="7"/>
  <c r="G40" i="7" l="1"/>
  <c r="B23" i="7"/>
  <c r="C23" i="7" s="1"/>
  <c r="D23" i="7" s="1"/>
  <c r="D38" i="7"/>
  <c r="D40" i="7" s="1"/>
  <c r="E34" i="7" s="1"/>
  <c r="F34" i="7" s="1"/>
  <c r="B22" i="7"/>
  <c r="C22" i="7" s="1"/>
  <c r="B31" i="8"/>
  <c r="B32" i="8"/>
  <c r="B40" i="8" l="1"/>
  <c r="C38" i="8" s="1"/>
  <c r="G38" i="8" s="1"/>
  <c r="E35" i="7"/>
  <c r="F35" i="7" s="1"/>
  <c r="E38" i="7"/>
  <c r="F38" i="7" s="1"/>
  <c r="E33" i="7"/>
  <c r="F33" i="7" s="1"/>
  <c r="E36" i="7"/>
  <c r="F36" i="7" s="1"/>
  <c r="E32" i="7"/>
  <c r="F32" i="7" s="1"/>
  <c r="E37" i="7"/>
  <c r="F37" i="7" s="1"/>
  <c r="E31" i="7"/>
  <c r="C25" i="7"/>
  <c r="B32" i="9"/>
  <c r="D22" i="7"/>
  <c r="D39" i="7"/>
  <c r="E39" i="7" s="1"/>
  <c r="F39" i="7" s="1"/>
  <c r="B33" i="9"/>
  <c r="B25" i="7"/>
  <c r="B26" i="7" s="1"/>
  <c r="B41" i="9" l="1"/>
  <c r="E40" i="7"/>
  <c r="C32" i="8"/>
  <c r="G32" i="8" s="1"/>
  <c r="C36" i="8"/>
  <c r="G36" i="8" s="1"/>
  <c r="C34" i="8"/>
  <c r="G34" i="8" s="1"/>
  <c r="C35" i="8"/>
  <c r="G35" i="8" s="1"/>
  <c r="C33" i="8"/>
  <c r="G33" i="8" s="1"/>
  <c r="D25" i="7"/>
  <c r="H30" i="7" s="1"/>
  <c r="H38" i="7" s="1"/>
  <c r="C37" i="8"/>
  <c r="G37" i="8" s="1"/>
  <c r="C6" i="8"/>
  <c r="F31" i="7"/>
  <c r="F40" i="7" s="1"/>
  <c r="C31" i="8"/>
  <c r="C39" i="9"/>
  <c r="G39" i="9" s="1"/>
  <c r="C40" i="8" l="1"/>
  <c r="C34" i="9"/>
  <c r="G34" i="9" s="1"/>
  <c r="C35" i="9"/>
  <c r="G35" i="9" s="1"/>
  <c r="C36" i="9"/>
  <c r="G36" i="9" s="1"/>
  <c r="C37" i="9"/>
  <c r="G37" i="9" s="1"/>
  <c r="H33" i="7"/>
  <c r="H34" i="7"/>
  <c r="H35" i="7"/>
  <c r="H36" i="7"/>
  <c r="H32" i="7"/>
  <c r="C32" i="9"/>
  <c r="D45" i="9"/>
  <c r="D39" i="9" s="1"/>
  <c r="B24" i="9" s="1"/>
  <c r="C38" i="9"/>
  <c r="G38" i="9" s="1"/>
  <c r="C6" i="9"/>
  <c r="C8" i="8"/>
  <c r="C33" i="9"/>
  <c r="G33" i="9" s="1"/>
  <c r="G31" i="8"/>
  <c r="G40" i="8" s="1"/>
  <c r="H31" i="7"/>
  <c r="H37" i="7"/>
  <c r="G32" i="9" l="1"/>
  <c r="G41" i="9" s="1"/>
  <c r="C41" i="9"/>
  <c r="H40" i="7"/>
  <c r="F8" i="8"/>
  <c r="G9" i="8"/>
  <c r="D35" i="8" s="1"/>
  <c r="F9" i="8"/>
  <c r="G10" i="8"/>
  <c r="D36" i="8" s="1"/>
  <c r="F7" i="8"/>
  <c r="G8" i="8"/>
  <c r="D34" i="8" s="1"/>
  <c r="G7" i="8"/>
  <c r="D33" i="8" s="1"/>
  <c r="F10" i="8"/>
  <c r="D43" i="9"/>
  <c r="D44" i="9" s="1"/>
  <c r="C8" i="9"/>
  <c r="D38" i="9"/>
  <c r="D40" i="9"/>
  <c r="F11" i="8"/>
  <c r="G5" i="8"/>
  <c r="D31" i="8" s="1"/>
  <c r="F5" i="8"/>
  <c r="G11" i="8"/>
  <c r="C10" i="8"/>
  <c r="F6" i="8"/>
  <c r="F12" i="8"/>
  <c r="G12" i="8"/>
  <c r="D38" i="8" s="1"/>
  <c r="G6" i="8"/>
  <c r="D32" i="8" s="1"/>
  <c r="F8" i="9" l="1"/>
  <c r="G9" i="9"/>
  <c r="D36" i="9" s="1"/>
  <c r="F7" i="9"/>
  <c r="G8" i="9"/>
  <c r="D35" i="9" s="1"/>
  <c r="G7" i="9"/>
  <c r="F10" i="9"/>
  <c r="F9" i="9"/>
  <c r="G10" i="9"/>
  <c r="D37" i="9" s="1"/>
  <c r="F12" i="9"/>
  <c r="B23" i="8"/>
  <c r="D37" i="8"/>
  <c r="B22" i="8"/>
  <c r="G11" i="9"/>
  <c r="D34" i="9"/>
  <c r="F6" i="9"/>
  <c r="C10" i="9"/>
  <c r="F5" i="9"/>
  <c r="G5" i="9"/>
  <c r="G6" i="9"/>
  <c r="F11" i="9"/>
  <c r="D33" i="9" l="1"/>
  <c r="B18" i="9"/>
  <c r="D32" i="9"/>
  <c r="B17" i="9"/>
  <c r="E11" i="9"/>
  <c r="D40" i="8"/>
  <c r="E38" i="8" s="1"/>
  <c r="F38" i="8" s="1"/>
  <c r="C22" i="8"/>
  <c r="B25" i="8"/>
  <c r="B26" i="8" s="1"/>
  <c r="C23" i="8"/>
  <c r="D23" i="8" s="1"/>
  <c r="D39" i="8"/>
  <c r="D41" i="9" l="1"/>
  <c r="B23" i="9"/>
  <c r="C23" i="9" s="1"/>
  <c r="E32" i="8"/>
  <c r="F32" i="8" s="1"/>
  <c r="E36" i="8"/>
  <c r="F36" i="8" s="1"/>
  <c r="E33" i="8"/>
  <c r="F33" i="8" s="1"/>
  <c r="E35" i="8"/>
  <c r="F35" i="8" s="1"/>
  <c r="E34" i="8"/>
  <c r="F34" i="8" s="1"/>
  <c r="C18" i="9"/>
  <c r="D18" i="9" s="1"/>
  <c r="C17" i="9"/>
  <c r="D17" i="9" s="1"/>
  <c r="E37" i="8"/>
  <c r="F37" i="8" s="1"/>
  <c r="E31" i="8"/>
  <c r="F31" i="8" s="1"/>
  <c r="E39" i="8"/>
  <c r="C25" i="8"/>
  <c r="D22" i="8"/>
  <c r="D25" i="8" s="1"/>
  <c r="H30" i="8" s="1"/>
  <c r="H38" i="8" s="1"/>
  <c r="F40" i="8" l="1"/>
  <c r="H33" i="8"/>
  <c r="H34" i="8"/>
  <c r="H35" i="8"/>
  <c r="H36" i="8"/>
  <c r="F39" i="8"/>
  <c r="I5" i="8"/>
  <c r="E40" i="8"/>
  <c r="D23" i="9"/>
  <c r="H32" i="8"/>
  <c r="H31" i="8"/>
  <c r="H37" i="8"/>
  <c r="G12" i="9"/>
  <c r="G13" i="9" s="1"/>
  <c r="E32" i="9"/>
  <c r="H40" i="8" l="1"/>
  <c r="F32" i="9"/>
  <c r="E35" i="9"/>
  <c r="F35" i="9" s="1"/>
  <c r="E34" i="9"/>
  <c r="F34" i="9" s="1"/>
  <c r="E37" i="9"/>
  <c r="F37" i="9" s="1"/>
  <c r="E12" i="9"/>
  <c r="E33" i="9"/>
  <c r="F33" i="9" s="1"/>
  <c r="E40" i="9"/>
  <c r="F40" i="9" s="1"/>
  <c r="E39" i="9"/>
  <c r="F39" i="9" s="1"/>
  <c r="E36" i="9"/>
  <c r="F36" i="9" s="1"/>
  <c r="E38" i="9"/>
  <c r="F38" i="9" s="1"/>
  <c r="F41" i="9" l="1"/>
  <c r="E41" i="9"/>
  <c r="B26" i="9"/>
  <c r="B27" i="9" s="1"/>
  <c r="E13" i="9"/>
  <c r="C24" i="9" l="1"/>
  <c r="C26" i="9" s="1"/>
  <c r="D24" i="9" l="1"/>
  <c r="D26" i="9" s="1"/>
  <c r="I4" i="9" l="1"/>
  <c r="I6" i="9" s="1"/>
  <c r="H31" i="9"/>
  <c r="H39" i="9" l="1"/>
  <c r="H33" i="9"/>
  <c r="H32" i="9"/>
  <c r="H37" i="9"/>
  <c r="H35" i="9"/>
  <c r="H36" i="9"/>
  <c r="H38" i="9"/>
  <c r="H34" i="9"/>
  <c r="H41" i="9" l="1"/>
</calcChain>
</file>

<file path=xl/sharedStrings.xml><?xml version="1.0" encoding="utf-8"?>
<sst xmlns="http://schemas.openxmlformats.org/spreadsheetml/2006/main" count="164" uniqueCount="74">
  <si>
    <t>Shareholder</t>
  </si>
  <si>
    <t>Difference</t>
  </si>
  <si>
    <t>Parameters</t>
  </si>
  <si>
    <t>Guidelines</t>
  </si>
  <si>
    <t>Capital Stock (nominal value)</t>
  </si>
  <si>
    <t xml:space="preserve">Planed Investment </t>
  </si>
  <si>
    <t>Price</t>
  </si>
  <si>
    <t>Shares</t>
  </si>
  <si>
    <t>Company Value (Pre Money)</t>
  </si>
  <si>
    <t>Total Price/Share</t>
  </si>
  <si>
    <t>./. included NV/Share</t>
  </si>
  <si>
    <t>=  Agio</t>
  </si>
  <si>
    <t>New shares and Investment</t>
  </si>
  <si>
    <t>Nominal</t>
  </si>
  <si>
    <t>Agio</t>
  </si>
  <si>
    <t>Total</t>
  </si>
  <si>
    <t>New Shares in total</t>
  </si>
  <si>
    <t>Capital Stock new:</t>
  </si>
  <si>
    <t>Cap table</t>
  </si>
  <si>
    <t>Percentage</t>
  </si>
  <si>
    <t>Value pre</t>
  </si>
  <si>
    <t>Value post</t>
  </si>
  <si>
    <t>pre</t>
  </si>
  <si>
    <t>post</t>
  </si>
  <si>
    <t>Value</t>
  </si>
  <si>
    <t>Post money</t>
  </si>
  <si>
    <t>Pre money</t>
  </si>
  <si>
    <t>%</t>
  </si>
  <si>
    <t>Investors in total</t>
  </si>
  <si>
    <t xml:space="preserve">Percentage post </t>
  </si>
  <si>
    <t xml:space="preserve">Required Investment </t>
  </si>
  <si>
    <t>Investment in total</t>
  </si>
  <si>
    <t>fixed value</t>
  </si>
  <si>
    <t>Investment &amp; Percentage</t>
  </si>
  <si>
    <t>(z. B. Seet, Round A, Round B)</t>
  </si>
  <si>
    <t>(Huber Family GmbH, Fam. Office)</t>
  </si>
  <si>
    <t>Lead Investor</t>
  </si>
  <si>
    <t>Co Investor</t>
  </si>
  <si>
    <t>Round A</t>
  </si>
  <si>
    <t>Investor I</t>
  </si>
  <si>
    <t>Planed invest. ∑</t>
  </si>
  <si>
    <t>Percentage post ∑</t>
  </si>
  <si>
    <t>Required invest. ∑</t>
  </si>
  <si>
    <t>NOTES</t>
  </si>
  <si>
    <t xml:space="preserve">The cap table calculator makes no claim to completeness or accuracy and can only be used as a guide.  </t>
  </si>
  <si>
    <t xml:space="preserve">You can use the cap table calculator to perform calculations with various parameters: </t>
  </si>
  <si>
    <t xml:space="preserve">1. tab: Enter the planned investment amounts and the maximum participation rate of all investors to calculate the number of new shares  </t>
  </si>
  <si>
    <t xml:space="preserve">2nd tab: Enter the planned investment amounts and the pre-money valuation to determine the participation rate  </t>
  </si>
  <si>
    <t xml:space="preserve">3rd tab: Enter the pre-money valuation and the participation quotas to determine the required investment amounts </t>
  </si>
  <si>
    <r>
      <rPr>
        <u/>
        <sz val="10"/>
        <color theme="1"/>
        <rFont val="Verdana"/>
        <family val="2"/>
      </rPr>
      <t>Before</t>
    </r>
    <r>
      <rPr>
        <sz val="10"/>
        <color theme="1"/>
        <rFont val="Verdana"/>
        <family val="2"/>
      </rPr>
      <t xml:space="preserve"> making entries in the following tabs, please enter the </t>
    </r>
    <r>
      <rPr>
        <u/>
        <sz val="10"/>
        <color theme="1"/>
        <rFont val="Verdana"/>
        <family val="2"/>
      </rPr>
      <t>master data</t>
    </r>
    <r>
      <rPr>
        <sz val="10"/>
        <color theme="1"/>
        <rFont val="Verdana"/>
        <family val="2"/>
      </rPr>
      <t xml:space="preserve"> first: </t>
    </r>
  </si>
  <si>
    <t>Master data</t>
  </si>
  <si>
    <t>Name of the company</t>
  </si>
  <si>
    <t>Financing round</t>
  </si>
  <si>
    <t>Shares in €</t>
  </si>
  <si>
    <t>First name Surname, statu</t>
  </si>
  <si>
    <t>(e.g. Hans Huber, Founder)</t>
  </si>
  <si>
    <t>A maximum of six founders or</t>
  </si>
  <si>
    <t xml:space="preserve">existing shareholders can be recorded </t>
  </si>
  <si>
    <t>Investors</t>
  </si>
  <si>
    <t>A maximum of two investors can be recorded</t>
  </si>
  <si>
    <t>The individual worksheets are protected. Please contact us if you wish to make different calculations or enter additional data.</t>
  </si>
  <si>
    <t>Please also inform us if you notice any malfunctions.</t>
  </si>
  <si>
    <t>BIZ | LAW Rechtsanwälte ▪ Contact RA Stefan Hartung ▪ hartung@biz-law.eu ▪ +49 351 3070 7030</t>
  </si>
  <si>
    <t>In I5, enter the target or</t>
  </si>
  <si>
    <t>maximum participation quota of the round</t>
  </si>
  <si>
    <t>Enter the amount of the desired total investment in E11</t>
  </si>
  <si>
    <t>or enter the amounts planned by the investors in E11 and E12</t>
  </si>
  <si>
    <t>Enter the pre money value in I8</t>
  </si>
  <si>
    <t>Participation rates</t>
  </si>
  <si>
    <t>In I11 and I12, enter the targeted</t>
  </si>
  <si>
    <t>Investor II</t>
  </si>
  <si>
    <t>Sample Ltd.</t>
  </si>
  <si>
    <t>Adrian Zimmermann</t>
  </si>
  <si>
    <t>Eric Francis Johne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</si>
</sst>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#,##0\ &quot;€&quot;"/>
    <numFmt numFmtId="167" formatCode="#,##0.00\ &quot;€&quot;"/>
    <numFmt numFmtId="168" formatCode="0.000"/>
    <numFmt numFmtId="169" formatCode="_-* #,##0\ [$€-407]_-;\-* #,##0\ [$€-407]_-;_-* &quot;-&quot;??\ [$€-407]_-;_-@_-"/>
    <numFmt numFmtId="170" formatCode="_-* #,##0.00\ [$€-407]_-;\-* #,##0.00\ [$€-407]_-;_-* &quot;-&quot;??\ [$€-407]_-;_-@_-"/>
    <numFmt numFmtId="171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u/>
      <sz val="10"/>
      <color theme="1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i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54">
    <xf numFmtId="0" fontId="0" fillId="0" borderId="0" xfId="0"/>
    <xf numFmtId="0" fontId="3" fillId="0" borderId="0" xfId="0" applyFont="1"/>
    <xf numFmtId="171" fontId="3" fillId="2" borderId="32" xfId="3" applyNumberFormat="1" applyFont="1" applyFill="1" applyBorder="1" applyProtection="1">
      <protection locked="0"/>
    </xf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5" fillId="0" borderId="38" xfId="0" applyFont="1" applyBorder="1"/>
    <xf numFmtId="0" fontId="6" fillId="0" borderId="35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38" xfId="0" applyFont="1" applyBorder="1"/>
    <xf numFmtId="0" fontId="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0" fontId="2" fillId="0" borderId="5" xfId="0" applyNumberFormat="1" applyFont="1" applyBorder="1" applyAlignment="1">
      <alignment vertical="center"/>
    </xf>
    <xf numFmtId="44" fontId="2" fillId="0" borderId="5" xfId="2" applyFont="1" applyFill="1" applyBorder="1" applyAlignment="1" applyProtection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10" fontId="2" fillId="0" borderId="23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0" fontId="2" fillId="0" borderId="17" xfId="0" applyNumberFormat="1" applyFont="1" applyBorder="1" applyAlignment="1">
      <alignment vertical="center"/>
    </xf>
    <xf numFmtId="44" fontId="2" fillId="0" borderId="17" xfId="2" applyFont="1" applyFill="1" applyBorder="1" applyAlignment="1" applyProtection="1">
      <alignment horizontal="right" vertical="center"/>
    </xf>
    <xf numFmtId="0" fontId="2" fillId="0" borderId="18" xfId="0" applyFont="1" applyBorder="1" applyAlignment="1">
      <alignment horizontal="left" vertical="center"/>
    </xf>
    <xf numFmtId="167" fontId="2" fillId="0" borderId="50" xfId="0" applyNumberFormat="1" applyFont="1" applyBorder="1" applyAlignment="1">
      <alignment vertical="center"/>
    </xf>
    <xf numFmtId="167" fontId="2" fillId="0" borderId="18" xfId="0" applyNumberFormat="1" applyFont="1" applyBorder="1" applyAlignment="1">
      <alignment vertical="center"/>
    </xf>
    <xf numFmtId="1" fontId="2" fillId="0" borderId="18" xfId="0" applyNumberFormat="1" applyFont="1" applyBorder="1" applyAlignment="1">
      <alignment vertical="center"/>
    </xf>
    <xf numFmtId="168" fontId="2" fillId="0" borderId="47" xfId="0" applyNumberFormat="1" applyFont="1" applyBorder="1" applyAlignment="1">
      <alignment vertical="center"/>
    </xf>
    <xf numFmtId="170" fontId="2" fillId="0" borderId="0" xfId="2" applyNumberFormat="1" applyFont="1" applyFill="1" applyBorder="1" applyAlignment="1" applyProtection="1">
      <alignment vertical="center"/>
    </xf>
    <xf numFmtId="0" fontId="2" fillId="0" borderId="21" xfId="0" applyFont="1" applyBorder="1" applyAlignment="1">
      <alignment horizontal="left" vertical="center"/>
    </xf>
    <xf numFmtId="167" fontId="2" fillId="0" borderId="33" xfId="0" applyNumberFormat="1" applyFont="1" applyBorder="1" applyAlignment="1">
      <alignment vertical="center"/>
    </xf>
    <xf numFmtId="167" fontId="2" fillId="0" borderId="21" xfId="0" applyNumberFormat="1" applyFont="1" applyBorder="1" applyAlignment="1">
      <alignment vertical="center"/>
    </xf>
    <xf numFmtId="1" fontId="2" fillId="0" borderId="20" xfId="0" applyNumberFormat="1" applyFont="1" applyBorder="1" applyAlignment="1">
      <alignment vertical="center"/>
    </xf>
    <xf numFmtId="10" fontId="2" fillId="0" borderId="24" xfId="0" applyNumberFormat="1" applyFont="1" applyBorder="1" applyAlignment="1">
      <alignment vertical="center"/>
    </xf>
    <xf numFmtId="168" fontId="2" fillId="0" borderId="48" xfId="0" applyNumberFormat="1" applyFont="1" applyBorder="1" applyAlignment="1">
      <alignment vertical="center"/>
    </xf>
    <xf numFmtId="10" fontId="2" fillId="0" borderId="14" xfId="0" applyNumberFormat="1" applyFont="1" applyBorder="1" applyAlignment="1">
      <alignment vertical="center"/>
    </xf>
    <xf numFmtId="170" fontId="2" fillId="0" borderId="13" xfId="0" applyNumberFormat="1" applyFont="1" applyBorder="1" applyAlignment="1">
      <alignment vertical="center"/>
    </xf>
    <xf numFmtId="10" fontId="2" fillId="0" borderId="28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70" fontId="2" fillId="0" borderId="0" xfId="2" applyNumberFormat="1" applyFont="1" applyFill="1" applyBorder="1" applyAlignment="1" applyProtection="1">
      <alignment horizontal="right" vertical="center"/>
    </xf>
    <xf numFmtId="166" fontId="8" fillId="0" borderId="0" xfId="0" applyNumberFormat="1" applyFont="1" applyAlignment="1">
      <alignment vertical="center"/>
    </xf>
    <xf numFmtId="164" fontId="2" fillId="0" borderId="0" xfId="3" applyFont="1" applyFill="1" applyBorder="1" applyAlignment="1" applyProtection="1">
      <alignment vertical="center"/>
    </xf>
    <xf numFmtId="166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167" fontId="2" fillId="0" borderId="51" xfId="0" applyNumberFormat="1" applyFont="1" applyBorder="1" applyAlignment="1">
      <alignment vertical="center"/>
    </xf>
    <xf numFmtId="167" fontId="2" fillId="0" borderId="49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vertical="center"/>
    </xf>
    <xf numFmtId="170" fontId="2" fillId="0" borderId="17" xfId="2" applyNumberFormat="1" applyFont="1" applyFill="1" applyBorder="1" applyAlignment="1" applyProtection="1">
      <alignment vertical="center"/>
    </xf>
    <xf numFmtId="0" fontId="8" fillId="0" borderId="18" xfId="0" applyFont="1" applyBorder="1" applyAlignment="1">
      <alignment horizontal="left" vertical="center"/>
    </xf>
    <xf numFmtId="167" fontId="8" fillId="2" borderId="30" xfId="0" applyNumberFormat="1" applyFont="1" applyFill="1" applyBorder="1" applyAlignment="1" applyProtection="1">
      <alignment vertical="center"/>
      <protection locked="0"/>
    </xf>
    <xf numFmtId="167" fontId="8" fillId="0" borderId="18" xfId="0" applyNumberFormat="1" applyFont="1" applyBorder="1" applyAlignment="1">
      <alignment vertical="center"/>
    </xf>
    <xf numFmtId="1" fontId="8" fillId="0" borderId="18" xfId="0" applyNumberFormat="1" applyFont="1" applyBorder="1" applyAlignment="1">
      <alignment vertical="center"/>
    </xf>
    <xf numFmtId="166" fontId="2" fillId="0" borderId="44" xfId="0" applyNumberFormat="1" applyFont="1" applyBorder="1" applyAlignment="1">
      <alignment vertical="center"/>
    </xf>
    <xf numFmtId="10" fontId="2" fillId="0" borderId="36" xfId="0" applyNumberFormat="1" applyFont="1" applyBorder="1" applyAlignment="1">
      <alignment vertical="center"/>
    </xf>
    <xf numFmtId="168" fontId="2" fillId="0" borderId="37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10" fontId="2" fillId="0" borderId="7" xfId="0" applyNumberFormat="1" applyFont="1" applyBorder="1" applyAlignment="1">
      <alignment vertical="center"/>
    </xf>
    <xf numFmtId="170" fontId="2" fillId="0" borderId="7" xfId="2" applyNumberFormat="1" applyFont="1" applyFill="1" applyBorder="1" applyAlignment="1" applyProtection="1">
      <alignment vertical="center"/>
    </xf>
    <xf numFmtId="0" fontId="8" fillId="0" borderId="26" xfId="0" applyFont="1" applyBorder="1" applyAlignment="1">
      <alignment horizontal="left" vertical="center"/>
    </xf>
    <xf numFmtId="167" fontId="8" fillId="2" borderId="27" xfId="0" applyNumberFormat="1" applyFont="1" applyFill="1" applyBorder="1" applyAlignment="1" applyProtection="1">
      <alignment vertical="center"/>
      <protection locked="0"/>
    </xf>
    <xf numFmtId="167" fontId="8" fillId="0" borderId="26" xfId="0" applyNumberFormat="1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166" fontId="2" fillId="0" borderId="45" xfId="0" applyNumberFormat="1" applyFont="1" applyBorder="1" applyAlignment="1">
      <alignment vertical="center"/>
    </xf>
    <xf numFmtId="10" fontId="2" fillId="0" borderId="41" xfId="0" applyNumberFormat="1" applyFont="1" applyBorder="1" applyAlignment="1">
      <alignment vertical="center"/>
    </xf>
    <xf numFmtId="168" fontId="2" fillId="0" borderId="42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165" fontId="2" fillId="0" borderId="0" xfId="2" applyNumberFormat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5" fontId="8" fillId="0" borderId="0" xfId="2" applyNumberFormat="1" applyFont="1" applyBorder="1" applyAlignment="1" applyProtection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4" fontId="2" fillId="0" borderId="0" xfId="2" applyFont="1" applyAlignment="1" applyProtection="1">
      <alignment vertical="center"/>
    </xf>
    <xf numFmtId="3" fontId="2" fillId="0" borderId="12" xfId="0" applyNumberFormat="1" applyFont="1" applyBorder="1" applyAlignment="1">
      <alignment horizontal="left" vertical="center"/>
    </xf>
    <xf numFmtId="167" fontId="2" fillId="0" borderId="3" xfId="0" applyNumberFormat="1" applyFont="1" applyBorder="1" applyAlignment="1">
      <alignment vertical="center"/>
    </xf>
    <xf numFmtId="44" fontId="2" fillId="0" borderId="12" xfId="2" applyFont="1" applyFill="1" applyBorder="1" applyAlignment="1" applyProtection="1">
      <alignment vertical="center"/>
    </xf>
    <xf numFmtId="166" fontId="2" fillId="0" borderId="11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171" fontId="2" fillId="0" borderId="0" xfId="3" applyNumberFormat="1" applyFont="1" applyFill="1" applyBorder="1" applyAlignment="1" applyProtection="1">
      <alignment vertical="center"/>
    </xf>
    <xf numFmtId="167" fontId="2" fillId="0" borderId="0" xfId="0" applyNumberFormat="1" applyFont="1" applyAlignment="1">
      <alignment vertical="center"/>
    </xf>
    <xf numFmtId="10" fontId="2" fillId="0" borderId="38" xfId="0" applyNumberFormat="1" applyFont="1" applyBorder="1" applyAlignment="1">
      <alignment vertical="center"/>
    </xf>
    <xf numFmtId="10" fontId="2" fillId="0" borderId="39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horizontal="left" vertical="center"/>
    </xf>
    <xf numFmtId="167" fontId="8" fillId="0" borderId="3" xfId="0" applyNumberFormat="1" applyFont="1" applyBorder="1" applyAlignment="1">
      <alignment vertical="center"/>
    </xf>
    <xf numFmtId="165" fontId="8" fillId="0" borderId="12" xfId="2" applyNumberFormat="1" applyFont="1" applyFill="1" applyBorder="1" applyAlignment="1" applyProtection="1">
      <alignment vertical="center"/>
    </xf>
    <xf numFmtId="167" fontId="8" fillId="0" borderId="11" xfId="0" applyNumberFormat="1" applyFont="1" applyBorder="1" applyAlignment="1">
      <alignment vertical="center"/>
    </xf>
    <xf numFmtId="44" fontId="2" fillId="0" borderId="39" xfId="2" applyFont="1" applyFill="1" applyBorder="1" applyAlignment="1" applyProtection="1">
      <alignment vertical="center"/>
    </xf>
    <xf numFmtId="10" fontId="2" fillId="0" borderId="40" xfId="0" applyNumberFormat="1" applyFont="1" applyBorder="1" applyAlignment="1">
      <alignment vertical="center"/>
    </xf>
    <xf numFmtId="10" fontId="2" fillId="0" borderId="42" xfId="0" applyNumberFormat="1" applyFont="1" applyBorder="1" applyAlignment="1">
      <alignment vertical="center"/>
    </xf>
    <xf numFmtId="167" fontId="2" fillId="0" borderId="11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167" fontId="5" fillId="0" borderId="9" xfId="0" applyNumberFormat="1" applyFont="1" applyBorder="1" applyAlignment="1">
      <alignment vertical="center"/>
    </xf>
    <xf numFmtId="44" fontId="5" fillId="0" borderId="13" xfId="2" applyFont="1" applyFill="1" applyBorder="1" applyAlignment="1" applyProtection="1">
      <alignment vertical="center"/>
    </xf>
    <xf numFmtId="167" fontId="5" fillId="0" borderId="15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5" fillId="3" borderId="1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10" fontId="2" fillId="3" borderId="5" xfId="0" applyNumberFormat="1" applyFont="1" applyFill="1" applyBorder="1" applyAlignment="1">
      <alignment vertical="center"/>
    </xf>
    <xf numFmtId="10" fontId="2" fillId="3" borderId="6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0" fontId="5" fillId="3" borderId="6" xfId="0" applyNumberFormat="1" applyFont="1" applyFill="1" applyBorder="1" applyAlignment="1">
      <alignment horizontal="right" vertical="center"/>
    </xf>
    <xf numFmtId="10" fontId="5" fillId="3" borderId="10" xfId="0" applyNumberFormat="1" applyFont="1" applyFill="1" applyBorder="1" applyAlignment="1">
      <alignment horizontal="center" vertical="center"/>
    </xf>
    <xf numFmtId="10" fontId="5" fillId="3" borderId="6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44" fontId="5" fillId="3" borderId="12" xfId="0" applyNumberFormat="1" applyFont="1" applyFill="1" applyBorder="1" applyAlignment="1">
      <alignment vertical="center"/>
    </xf>
    <xf numFmtId="44" fontId="5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167" fontId="2" fillId="3" borderId="0" xfId="0" applyNumberFormat="1" applyFont="1" applyFill="1" applyAlignment="1">
      <alignment vertical="center"/>
    </xf>
    <xf numFmtId="10" fontId="9" fillId="3" borderId="0" xfId="0" applyNumberFormat="1" applyFont="1" applyFill="1" applyAlignment="1">
      <alignment vertical="center"/>
    </xf>
    <xf numFmtId="167" fontId="9" fillId="3" borderId="0" xfId="0" applyNumberFormat="1" applyFont="1" applyFill="1" applyAlignment="1">
      <alignment vertical="center"/>
    </xf>
    <xf numFmtId="10" fontId="2" fillId="3" borderId="0" xfId="1" applyNumberFormat="1" applyFont="1" applyFill="1" applyBorder="1" applyAlignment="1" applyProtection="1">
      <alignment vertical="center"/>
    </xf>
    <xf numFmtId="10" fontId="9" fillId="3" borderId="11" xfId="0" applyNumberFormat="1" applyFont="1" applyFill="1" applyBorder="1" applyAlignment="1">
      <alignment vertical="center"/>
    </xf>
    <xf numFmtId="44" fontId="2" fillId="3" borderId="10" xfId="2" applyFont="1" applyFill="1" applyBorder="1" applyAlignment="1" applyProtection="1">
      <alignment vertical="center"/>
    </xf>
    <xf numFmtId="44" fontId="2" fillId="3" borderId="6" xfId="0" applyNumberFormat="1" applyFont="1" applyFill="1" applyBorder="1" applyAlignment="1">
      <alignment vertical="center"/>
    </xf>
    <xf numFmtId="44" fontId="2" fillId="0" borderId="0" xfId="2" applyFont="1" applyFill="1" applyBorder="1" applyAlignment="1" applyProtection="1">
      <alignment vertical="center"/>
    </xf>
    <xf numFmtId="44" fontId="2" fillId="3" borderId="12" xfId="2" applyFont="1" applyFill="1" applyBorder="1" applyAlignment="1" applyProtection="1">
      <alignment vertical="center"/>
    </xf>
    <xf numFmtId="44" fontId="2" fillId="3" borderId="11" xfId="0" applyNumberFormat="1" applyFont="1" applyFill="1" applyBorder="1" applyAlignment="1">
      <alignment vertical="center"/>
    </xf>
    <xf numFmtId="0" fontId="8" fillId="3" borderId="12" xfId="0" applyFont="1" applyFill="1" applyBorder="1" applyAlignment="1">
      <alignment horizontal="left" vertical="center"/>
    </xf>
    <xf numFmtId="167" fontId="8" fillId="3" borderId="0" xfId="0" applyNumberFormat="1" applyFont="1" applyFill="1" applyAlignment="1">
      <alignment horizontal="center" vertical="center"/>
    </xf>
    <xf numFmtId="10" fontId="10" fillId="3" borderId="0" xfId="0" applyNumberFormat="1" applyFont="1" applyFill="1" applyAlignment="1">
      <alignment horizontal="center" vertical="center"/>
    </xf>
    <xf numFmtId="167" fontId="10" fillId="3" borderId="0" xfId="0" applyNumberFormat="1" applyFont="1" applyFill="1" applyAlignment="1">
      <alignment horizontal="center" vertical="center"/>
    </xf>
    <xf numFmtId="10" fontId="8" fillId="3" borderId="0" xfId="1" applyNumberFormat="1" applyFont="1" applyFill="1" applyBorder="1" applyAlignment="1" applyProtection="1">
      <alignment horizontal="center" vertical="center"/>
    </xf>
    <xf numFmtId="10" fontId="10" fillId="3" borderId="11" xfId="0" applyNumberFormat="1" applyFont="1" applyFill="1" applyBorder="1" applyAlignment="1">
      <alignment horizontal="center" vertical="center"/>
    </xf>
    <xf numFmtId="44" fontId="2" fillId="3" borderId="12" xfId="2" applyFont="1" applyFill="1" applyBorder="1" applyAlignment="1" applyProtection="1">
      <alignment horizontal="center" vertical="center"/>
    </xf>
    <xf numFmtId="44" fontId="2" fillId="3" borderId="11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167" fontId="2" fillId="3" borderId="14" xfId="0" applyNumberFormat="1" applyFont="1" applyFill="1" applyBorder="1" applyAlignment="1">
      <alignment vertical="center"/>
    </xf>
    <xf numFmtId="10" fontId="2" fillId="3" borderId="14" xfId="1" applyNumberFormat="1" applyFont="1" applyFill="1" applyBorder="1" applyAlignment="1">
      <alignment vertical="center"/>
    </xf>
    <xf numFmtId="167" fontId="2" fillId="3" borderId="13" xfId="0" applyNumberFormat="1" applyFont="1" applyFill="1" applyBorder="1" applyAlignment="1">
      <alignment vertical="center"/>
    </xf>
    <xf numFmtId="167" fontId="2" fillId="3" borderId="15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4" fontId="2" fillId="0" borderId="6" xfId="2" applyFont="1" applyFill="1" applyBorder="1" applyAlignment="1" applyProtection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right" vertical="center"/>
    </xf>
    <xf numFmtId="170" fontId="2" fillId="0" borderId="30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166" fontId="2" fillId="0" borderId="33" xfId="0" applyNumberFormat="1" applyFont="1" applyBorder="1" applyAlignment="1">
      <alignment vertical="center"/>
    </xf>
    <xf numFmtId="164" fontId="2" fillId="0" borderId="19" xfId="3" applyFont="1" applyFill="1" applyBorder="1" applyAlignment="1" applyProtection="1">
      <alignment horizontal="right" vertical="center"/>
    </xf>
    <xf numFmtId="0" fontId="2" fillId="0" borderId="19" xfId="0" applyFont="1" applyBorder="1" applyAlignment="1">
      <alignment horizontal="left" vertical="center"/>
    </xf>
    <xf numFmtId="1" fontId="2" fillId="0" borderId="21" xfId="0" applyNumberFormat="1" applyFont="1" applyBorder="1" applyAlignment="1">
      <alignment vertical="center"/>
    </xf>
    <xf numFmtId="44" fontId="2" fillId="0" borderId="19" xfId="2" applyFont="1" applyBorder="1" applyAlignment="1" applyProtection="1">
      <alignment horizontal="right" vertical="center"/>
    </xf>
    <xf numFmtId="166" fontId="2" fillId="0" borderId="51" xfId="0" applyNumberFormat="1" applyFont="1" applyBorder="1" applyAlignment="1">
      <alignment vertical="center"/>
    </xf>
    <xf numFmtId="44" fontId="2" fillId="0" borderId="29" xfId="2" applyFont="1" applyBorder="1" applyAlignment="1" applyProtection="1">
      <alignment horizontal="right" vertical="center"/>
    </xf>
    <xf numFmtId="10" fontId="2" fillId="0" borderId="25" xfId="0" applyNumberFormat="1" applyFont="1" applyBorder="1" applyAlignment="1">
      <alignment vertical="center"/>
    </xf>
    <xf numFmtId="166" fontId="2" fillId="0" borderId="14" xfId="0" applyNumberFormat="1" applyFont="1" applyBorder="1" applyAlignment="1">
      <alignment vertical="center"/>
    </xf>
    <xf numFmtId="44" fontId="2" fillId="2" borderId="13" xfId="2" applyFont="1" applyFill="1" applyBorder="1" applyAlignment="1" applyProtection="1">
      <alignment horizontal="right" vertical="center"/>
      <protection locked="0"/>
    </xf>
    <xf numFmtId="10" fontId="2" fillId="2" borderId="15" xfId="0" applyNumberFormat="1" applyFont="1" applyFill="1" applyBorder="1" applyAlignment="1">
      <alignment vertical="center"/>
    </xf>
    <xf numFmtId="168" fontId="2" fillId="0" borderId="43" xfId="0" applyNumberFormat="1" applyFont="1" applyBorder="1" applyAlignment="1">
      <alignment vertical="center"/>
    </xf>
    <xf numFmtId="166" fontId="8" fillId="0" borderId="1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167" fontId="8" fillId="0" borderId="21" xfId="0" applyNumberFormat="1" applyFont="1" applyBorder="1" applyAlignment="1">
      <alignment vertical="center"/>
    </xf>
    <xf numFmtId="1" fontId="8" fillId="0" borderId="21" xfId="0" applyNumberFormat="1" applyFont="1" applyBorder="1" applyAlignment="1">
      <alignment vertical="center"/>
    </xf>
    <xf numFmtId="166" fontId="8" fillId="0" borderId="27" xfId="0" applyNumberFormat="1" applyFont="1" applyBorder="1" applyAlignment="1">
      <alignment vertical="center"/>
    </xf>
    <xf numFmtId="0" fontId="8" fillId="0" borderId="27" xfId="0" applyFont="1" applyBorder="1" applyAlignment="1">
      <alignment horizontal="left" vertical="center"/>
    </xf>
    <xf numFmtId="1" fontId="8" fillId="0" borderId="26" xfId="0" applyNumberFormat="1" applyFont="1" applyBorder="1" applyAlignment="1">
      <alignment vertical="center"/>
    </xf>
    <xf numFmtId="10" fontId="2" fillId="0" borderId="12" xfId="0" applyNumberFormat="1" applyFont="1" applyBorder="1" applyAlignment="1">
      <alignment vertical="center"/>
    </xf>
    <xf numFmtId="9" fontId="2" fillId="0" borderId="0" xfId="1" applyFont="1" applyBorder="1" applyAlignment="1" applyProtection="1">
      <alignment vertical="center"/>
    </xf>
    <xf numFmtId="44" fontId="2" fillId="0" borderId="0" xfId="2" applyFont="1" applyBorder="1" applyAlignment="1" applyProtection="1">
      <alignment vertical="center"/>
    </xf>
    <xf numFmtId="44" fontId="2" fillId="0" borderId="11" xfId="0" applyNumberFormat="1" applyFont="1" applyBorder="1" applyAlignment="1">
      <alignment vertical="center"/>
    </xf>
    <xf numFmtId="44" fontId="5" fillId="0" borderId="15" xfId="0" applyNumberFormat="1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10" fontId="5" fillId="3" borderId="8" xfId="0" applyNumberFormat="1" applyFont="1" applyFill="1" applyBorder="1" applyAlignment="1">
      <alignment horizontal="center" vertical="center"/>
    </xf>
    <xf numFmtId="44" fontId="5" fillId="3" borderId="12" xfId="0" applyNumberFormat="1" applyFont="1" applyFill="1" applyBorder="1" applyAlignment="1">
      <alignment horizontal="center" vertical="center"/>
    </xf>
    <xf numFmtId="44" fontId="5" fillId="3" borderId="11" xfId="0" applyNumberFormat="1" applyFont="1" applyFill="1" applyBorder="1" applyAlignment="1">
      <alignment horizontal="center" vertical="center"/>
    </xf>
    <xf numFmtId="10" fontId="2" fillId="3" borderId="15" xfId="0" applyNumberFormat="1" applyFont="1" applyFill="1" applyBorder="1" applyAlignment="1">
      <alignment vertical="center"/>
    </xf>
    <xf numFmtId="44" fontId="2" fillId="3" borderId="13" xfId="0" applyNumberFormat="1" applyFont="1" applyFill="1" applyBorder="1" applyAlignment="1">
      <alignment vertical="center"/>
    </xf>
    <xf numFmtId="44" fontId="2" fillId="3" borderId="15" xfId="0" applyNumberFormat="1" applyFont="1" applyFill="1" applyBorder="1" applyAlignment="1">
      <alignment vertical="center"/>
    </xf>
    <xf numFmtId="16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52" xfId="0" applyFont="1" applyBorder="1" applyAlignment="1">
      <alignment horizontal="left" vertical="center"/>
    </xf>
    <xf numFmtId="167" fontId="2" fillId="0" borderId="20" xfId="0" applyNumberFormat="1" applyFont="1" applyBorder="1" applyAlignment="1">
      <alignment vertical="center"/>
    </xf>
    <xf numFmtId="10" fontId="2" fillId="2" borderId="28" xfId="0" applyNumberFormat="1" applyFont="1" applyFill="1" applyBorder="1" applyAlignment="1">
      <alignment vertical="center"/>
    </xf>
    <xf numFmtId="168" fontId="2" fillId="0" borderId="46" xfId="0" applyNumberFormat="1" applyFont="1" applyBorder="1" applyAlignment="1">
      <alignment vertical="center"/>
    </xf>
    <xf numFmtId="0" fontId="2" fillId="0" borderId="49" xfId="0" applyFont="1" applyBorder="1" applyAlignment="1">
      <alignment horizontal="left" vertical="center"/>
    </xf>
    <xf numFmtId="1" fontId="2" fillId="0" borderId="3" xfId="0" applyNumberFormat="1" applyFont="1" applyBorder="1" applyAlignment="1">
      <alignment vertical="center"/>
    </xf>
    <xf numFmtId="166" fontId="2" fillId="0" borderId="36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166" fontId="2" fillId="0" borderId="41" xfId="0" applyNumberFormat="1" applyFont="1" applyBorder="1" applyAlignment="1">
      <alignment vertical="center"/>
    </xf>
    <xf numFmtId="44" fontId="2" fillId="0" borderId="11" xfId="2" applyFont="1" applyBorder="1" applyAlignment="1">
      <alignment vertical="center"/>
    </xf>
    <xf numFmtId="44" fontId="8" fillId="0" borderId="12" xfId="2" applyFont="1" applyFill="1" applyBorder="1" applyAlignment="1" applyProtection="1">
      <alignment vertical="center"/>
    </xf>
    <xf numFmtId="44" fontId="8" fillId="0" borderId="11" xfId="0" applyNumberFormat="1" applyFont="1" applyBorder="1" applyAlignment="1">
      <alignment vertical="center"/>
    </xf>
    <xf numFmtId="10" fontId="2" fillId="3" borderId="14" xfId="0" applyNumberFormat="1" applyFont="1" applyFill="1" applyBorder="1" applyAlignment="1">
      <alignment vertical="center"/>
    </xf>
    <xf numFmtId="10" fontId="2" fillId="3" borderId="14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5" fillId="3" borderId="5" xfId="0" applyFont="1" applyFill="1" applyBorder="1" applyAlignment="1">
      <alignment horizontal="right" vertical="center"/>
    </xf>
    <xf numFmtId="10" fontId="5" fillId="3" borderId="10" xfId="0" applyNumberFormat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10" fontId="5" fillId="3" borderId="8" xfId="0" applyNumberFormat="1" applyFont="1" applyFill="1" applyBorder="1" applyAlignment="1">
      <alignment horizontal="right" vertical="center"/>
    </xf>
    <xf numFmtId="44" fontId="5" fillId="3" borderId="12" xfId="0" applyNumberFormat="1" applyFont="1" applyFill="1" applyBorder="1" applyAlignment="1">
      <alignment horizontal="right" vertical="center"/>
    </xf>
    <xf numFmtId="44" fontId="5" fillId="3" borderId="11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center" vertical="center"/>
    </xf>
    <xf numFmtId="10" fontId="8" fillId="0" borderId="28" xfId="0" applyNumberFormat="1" applyFont="1" applyBorder="1" applyAlignment="1">
      <alignment horizontal="center" vertical="center"/>
    </xf>
    <xf numFmtId="164" fontId="8" fillId="2" borderId="10" xfId="3" applyFont="1" applyFill="1" applyBorder="1" applyAlignment="1" applyProtection="1">
      <alignment horizontal="right" vertical="center"/>
      <protection locked="0"/>
    </xf>
    <xf numFmtId="164" fontId="8" fillId="2" borderId="27" xfId="3" applyFont="1" applyFill="1" applyBorder="1" applyAlignment="1" applyProtection="1">
      <alignment horizontal="right" vertical="center"/>
      <protection locked="0"/>
    </xf>
    <xf numFmtId="166" fontId="2" fillId="0" borderId="19" xfId="0" applyNumberFormat="1" applyFont="1" applyBorder="1" applyAlignment="1">
      <alignment vertical="center"/>
    </xf>
    <xf numFmtId="166" fontId="2" fillId="0" borderId="29" xfId="0" applyNumberFormat="1" applyFont="1" applyBorder="1" applyAlignment="1">
      <alignment vertical="center"/>
    </xf>
    <xf numFmtId="166" fontId="2" fillId="0" borderId="27" xfId="0" applyNumberFormat="1" applyFont="1" applyBorder="1" applyAlignment="1">
      <alignment vertical="center"/>
    </xf>
    <xf numFmtId="170" fontId="2" fillId="0" borderId="30" xfId="0" applyNumberFormat="1" applyFont="1" applyBorder="1" applyAlignment="1">
      <alignment vertical="center"/>
    </xf>
    <xf numFmtId="10" fontId="2" fillId="0" borderId="19" xfId="3" applyNumberFormat="1" applyFont="1" applyFill="1" applyBorder="1" applyAlignment="1" applyProtection="1">
      <alignment horizontal="right" vertical="center"/>
    </xf>
    <xf numFmtId="44" fontId="2" fillId="0" borderId="19" xfId="2" applyFont="1" applyBorder="1" applyAlignment="1" applyProtection="1">
      <alignment vertical="center"/>
    </xf>
    <xf numFmtId="44" fontId="2" fillId="0" borderId="29" xfId="2" applyFont="1" applyBorder="1" applyAlignment="1">
      <alignment vertical="center"/>
    </xf>
    <xf numFmtId="44" fontId="2" fillId="2" borderId="27" xfId="2" applyFont="1" applyFill="1" applyBorder="1" applyAlignment="1" applyProtection="1">
      <alignment vertical="center"/>
      <protection locked="0"/>
    </xf>
    <xf numFmtId="0" fontId="2" fillId="0" borderId="30" xfId="0" applyFont="1" applyBorder="1" applyAlignment="1">
      <alignment vertical="center"/>
    </xf>
    <xf numFmtId="166" fontId="2" fillId="0" borderId="31" xfId="0" applyNumberFormat="1" applyFont="1" applyBorder="1" applyAlignment="1">
      <alignment vertical="center"/>
    </xf>
    <xf numFmtId="2" fontId="2" fillId="2" borderId="19" xfId="3" applyNumberFormat="1" applyFont="1" applyFill="1" applyBorder="1" applyAlignment="1" applyProtection="1">
      <alignment horizontal="right" vertical="center"/>
      <protection locked="0"/>
    </xf>
    <xf numFmtId="44" fontId="2" fillId="0" borderId="27" xfId="2" applyFont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33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5" fillId="0" borderId="3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3" fillId="0" borderId="3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8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</cellXfs>
  <cellStyles count="4">
    <cellStyle name="Komma" xfId="3" builtinId="3"/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3</xdr:row>
      <xdr:rowOff>38101</xdr:rowOff>
    </xdr:from>
    <xdr:to>
      <xdr:col>13</xdr:col>
      <xdr:colOff>466725</xdr:colOff>
      <xdr:row>7</xdr:row>
      <xdr:rowOff>56559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8375" y="523876"/>
          <a:ext cx="1819275" cy="666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461967</xdr:colOff>
      <xdr:row>17</xdr:row>
      <xdr:rowOff>30957</xdr:rowOff>
    </xdr:from>
    <xdr:to>
      <xdr:col>6</xdr:col>
      <xdr:colOff>1461814</xdr:colOff>
      <xdr:row>20</xdr:row>
      <xdr:rowOff>150020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2717" y="3917157"/>
          <a:ext cx="2180947" cy="8048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488155</xdr:colOff>
      <xdr:row>17</xdr:row>
      <xdr:rowOff>69054</xdr:rowOff>
    </xdr:from>
    <xdr:to>
      <xdr:col>6</xdr:col>
      <xdr:colOff>1488002</xdr:colOff>
      <xdr:row>20</xdr:row>
      <xdr:rowOff>188117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8905" y="3955254"/>
          <a:ext cx="2180947" cy="804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179295</xdr:colOff>
      <xdr:row>18</xdr:row>
      <xdr:rowOff>24653</xdr:rowOff>
    </xdr:from>
    <xdr:to>
      <xdr:col>6</xdr:col>
      <xdr:colOff>1181243</xdr:colOff>
      <xdr:row>21</xdr:row>
      <xdr:rowOff>154501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930B35-52B1-401D-9A40-4258CABF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3795" y="4139453"/>
          <a:ext cx="2183048" cy="815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showGridLines="0" topLeftCell="A16" workbookViewId="0">
      <selection activeCell="D26" sqref="D26:G26"/>
    </sheetView>
  </sheetViews>
  <sheetFormatPr baseColWidth="10" defaultRowHeight="12.75" x14ac:dyDescent="0.2"/>
  <cols>
    <col min="1" max="1" width="41" style="1" customWidth="1"/>
    <col min="2" max="2" width="4.5703125" style="1" customWidth="1"/>
    <col min="3" max="3" width="4.28515625" style="1" customWidth="1"/>
    <col min="4" max="7" width="11.42578125" style="1"/>
    <col min="8" max="8" width="15.42578125" style="1" bestFit="1" customWidth="1"/>
    <col min="9" max="16384" width="11.42578125" style="1"/>
  </cols>
  <sheetData>
    <row r="1" spans="1:14" x14ac:dyDescent="0.2">
      <c r="A1" s="14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4"/>
      <c r="N1" s="5"/>
    </row>
    <row r="2" spans="1:14" x14ac:dyDescent="0.2">
      <c r="A2" s="13"/>
      <c r="L2" s="6"/>
      <c r="N2" s="7"/>
    </row>
    <row r="3" spans="1:14" x14ac:dyDescent="0.2">
      <c r="A3" s="13" t="s">
        <v>44</v>
      </c>
      <c r="L3" s="6"/>
      <c r="N3" s="7"/>
    </row>
    <row r="4" spans="1:14" x14ac:dyDescent="0.2">
      <c r="A4" s="6"/>
      <c r="L4" s="6"/>
      <c r="N4" s="7"/>
    </row>
    <row r="5" spans="1:14" x14ac:dyDescent="0.2">
      <c r="A5" s="6" t="s">
        <v>45</v>
      </c>
      <c r="L5" s="6"/>
      <c r="N5" s="7"/>
    </row>
    <row r="6" spans="1:14" x14ac:dyDescent="0.2">
      <c r="A6" s="6" t="s">
        <v>46</v>
      </c>
      <c r="L6" s="6"/>
      <c r="N6" s="7"/>
    </row>
    <row r="7" spans="1:14" x14ac:dyDescent="0.2">
      <c r="A7" s="6" t="s">
        <v>47</v>
      </c>
      <c r="L7" s="6"/>
      <c r="N7" s="7"/>
    </row>
    <row r="8" spans="1:14" x14ac:dyDescent="0.2">
      <c r="A8" s="6" t="s">
        <v>48</v>
      </c>
      <c r="L8" s="6"/>
      <c r="N8" s="7"/>
    </row>
    <row r="9" spans="1:14" x14ac:dyDescent="0.2">
      <c r="A9" s="6"/>
      <c r="L9" s="6"/>
      <c r="N9" s="7"/>
    </row>
    <row r="10" spans="1:14" x14ac:dyDescent="0.2">
      <c r="A10" s="17" t="s">
        <v>49</v>
      </c>
      <c r="L10" s="6"/>
      <c r="N10" s="7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8"/>
      <c r="M11" s="9"/>
      <c r="N11" s="10"/>
    </row>
    <row r="12" spans="1:14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 x14ac:dyDescent="0.2">
      <c r="A13" s="13" t="s">
        <v>50</v>
      </c>
      <c r="N13" s="7"/>
    </row>
    <row r="14" spans="1:14" x14ac:dyDescent="0.2">
      <c r="A14" s="6"/>
      <c r="N14" s="7"/>
    </row>
    <row r="15" spans="1:14" x14ac:dyDescent="0.2">
      <c r="A15" s="242" t="s">
        <v>51</v>
      </c>
      <c r="B15" s="241"/>
      <c r="C15" s="243"/>
      <c r="D15" s="239" t="s">
        <v>71</v>
      </c>
      <c r="E15" s="234"/>
      <c r="F15" s="234"/>
      <c r="G15" s="235"/>
      <c r="N15" s="7"/>
    </row>
    <row r="16" spans="1:14" x14ac:dyDescent="0.2">
      <c r="A16" s="242" t="s">
        <v>52</v>
      </c>
      <c r="B16" s="241"/>
      <c r="C16" s="241"/>
      <c r="N16" s="7"/>
    </row>
    <row r="17" spans="1:14" x14ac:dyDescent="0.2">
      <c r="A17" s="240" t="s">
        <v>34</v>
      </c>
      <c r="B17" s="241"/>
      <c r="C17" s="243"/>
      <c r="D17" s="233" t="s">
        <v>38</v>
      </c>
      <c r="E17" s="234"/>
      <c r="F17" s="234"/>
      <c r="G17" s="235"/>
      <c r="N17" s="7"/>
    </row>
    <row r="18" spans="1:14" x14ac:dyDescent="0.2">
      <c r="A18" s="245"/>
      <c r="B18" s="246"/>
      <c r="C18" s="246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</row>
    <row r="19" spans="1:14" x14ac:dyDescent="0.2">
      <c r="A19" s="11"/>
      <c r="B19" s="12"/>
      <c r="C19" s="12"/>
      <c r="D19" s="4"/>
      <c r="E19" s="4"/>
      <c r="F19" s="4"/>
      <c r="G19" s="4"/>
      <c r="H19" s="4"/>
      <c r="I19" s="4"/>
      <c r="J19" s="4"/>
      <c r="K19" s="4"/>
      <c r="L19" s="4"/>
      <c r="M19" s="4"/>
      <c r="N19" s="5"/>
    </row>
    <row r="20" spans="1:14" x14ac:dyDescent="0.2">
      <c r="A20" s="242" t="s">
        <v>0</v>
      </c>
      <c r="B20" s="241"/>
      <c r="C20" s="241"/>
      <c r="N20" s="7"/>
    </row>
    <row r="21" spans="1:14" x14ac:dyDescent="0.2">
      <c r="A21" s="240"/>
      <c r="B21" s="241"/>
      <c r="C21" s="241"/>
      <c r="H21" s="15" t="s">
        <v>53</v>
      </c>
      <c r="N21" s="7"/>
    </row>
    <row r="22" spans="1:14" x14ac:dyDescent="0.2">
      <c r="A22" s="242" t="s">
        <v>54</v>
      </c>
      <c r="B22" s="241"/>
      <c r="C22" s="243"/>
      <c r="D22" s="244" t="s">
        <v>72</v>
      </c>
      <c r="E22" s="234"/>
      <c r="F22" s="234"/>
      <c r="G22" s="235"/>
      <c r="H22" s="2">
        <v>1498</v>
      </c>
      <c r="J22" s="16" t="s">
        <v>56</v>
      </c>
      <c r="N22" s="7"/>
    </row>
    <row r="23" spans="1:14" x14ac:dyDescent="0.2">
      <c r="A23" s="17" t="s">
        <v>55</v>
      </c>
      <c r="J23" s="16" t="s">
        <v>57</v>
      </c>
      <c r="N23" s="7"/>
    </row>
    <row r="24" spans="1:14" x14ac:dyDescent="0.2">
      <c r="A24" s="6" t="s">
        <v>35</v>
      </c>
      <c r="D24" s="244" t="s">
        <v>73</v>
      </c>
      <c r="E24" s="234"/>
      <c r="F24" s="234"/>
      <c r="G24" s="235"/>
      <c r="H24" s="2">
        <v>502</v>
      </c>
      <c r="N24" s="7"/>
    </row>
    <row r="25" spans="1:14" x14ac:dyDescent="0.2">
      <c r="A25" s="6"/>
      <c r="N25" s="7"/>
    </row>
    <row r="26" spans="1:14" x14ac:dyDescent="0.2">
      <c r="A26" s="6"/>
      <c r="D26" s="233"/>
      <c r="E26" s="234"/>
      <c r="F26" s="234"/>
      <c r="G26" s="235"/>
      <c r="H26" s="2"/>
      <c r="N26" s="7"/>
    </row>
    <row r="27" spans="1:14" x14ac:dyDescent="0.2">
      <c r="A27" s="6"/>
      <c r="N27" s="7"/>
    </row>
    <row r="28" spans="1:14" x14ac:dyDescent="0.2">
      <c r="A28" s="6"/>
      <c r="D28" s="233"/>
      <c r="E28" s="234"/>
      <c r="F28" s="234"/>
      <c r="G28" s="235"/>
      <c r="H28" s="2"/>
      <c r="N28" s="7"/>
    </row>
    <row r="29" spans="1:14" x14ac:dyDescent="0.2">
      <c r="A29" s="6"/>
      <c r="N29" s="7"/>
    </row>
    <row r="30" spans="1:14" x14ac:dyDescent="0.2">
      <c r="A30" s="6"/>
      <c r="D30" s="233"/>
      <c r="E30" s="234"/>
      <c r="F30" s="234"/>
      <c r="G30" s="235"/>
      <c r="H30" s="2"/>
      <c r="N30" s="7"/>
    </row>
    <row r="31" spans="1:14" x14ac:dyDescent="0.2">
      <c r="A31" s="6"/>
      <c r="N31" s="7"/>
    </row>
    <row r="32" spans="1:14" x14ac:dyDescent="0.2">
      <c r="A32" s="6"/>
      <c r="D32" s="233"/>
      <c r="E32" s="234"/>
      <c r="F32" s="234"/>
      <c r="G32" s="235"/>
      <c r="H32" s="2"/>
      <c r="N32" s="7"/>
    </row>
    <row r="33" spans="1:14" x14ac:dyDescent="0.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0"/>
    </row>
    <row r="34" spans="1:14" x14ac:dyDescent="0.2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/>
    </row>
    <row r="35" spans="1:14" x14ac:dyDescent="0.2">
      <c r="A35" s="17" t="s">
        <v>58</v>
      </c>
      <c r="D35" s="233" t="s">
        <v>39</v>
      </c>
      <c r="E35" s="234"/>
      <c r="F35" s="234"/>
      <c r="G35" s="235"/>
      <c r="H35" s="1" t="s">
        <v>36</v>
      </c>
      <c r="J35" s="16" t="s">
        <v>59</v>
      </c>
      <c r="N35" s="7"/>
    </row>
    <row r="36" spans="1:14" x14ac:dyDescent="0.2">
      <c r="A36" s="6"/>
      <c r="N36" s="7"/>
    </row>
    <row r="37" spans="1:14" x14ac:dyDescent="0.2">
      <c r="A37" s="6"/>
      <c r="D37" s="239" t="s">
        <v>70</v>
      </c>
      <c r="E37" s="234"/>
      <c r="F37" s="234"/>
      <c r="G37" s="235"/>
      <c r="H37" s="1" t="s">
        <v>37</v>
      </c>
      <c r="N37" s="7"/>
    </row>
    <row r="38" spans="1:14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</row>
    <row r="39" spans="1:14" x14ac:dyDescent="0.2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</row>
    <row r="40" spans="1:14" x14ac:dyDescent="0.2">
      <c r="A40" s="6" t="s">
        <v>60</v>
      </c>
      <c r="N40" s="7"/>
    </row>
    <row r="41" spans="1:14" x14ac:dyDescent="0.2">
      <c r="A41" s="6" t="s">
        <v>61</v>
      </c>
      <c r="N41" s="7"/>
    </row>
    <row r="42" spans="1:14" x14ac:dyDescent="0.2">
      <c r="A42" s="6"/>
      <c r="N42" s="7"/>
    </row>
    <row r="43" spans="1:14" x14ac:dyDescent="0.2">
      <c r="A43" s="236" t="s">
        <v>62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8"/>
    </row>
    <row r="44" spans="1:14" x14ac:dyDescent="0.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10"/>
    </row>
  </sheetData>
  <sheetProtection algorithmName="SHA-512" hashValue="UVkci/S7pMhMtccZTxKhds2LTTpev2jcZv+/ezIVyV1ivlYDKqODnh0QZCI24khl2WPAsD8f1q2QqBV48b6rww==" saltValue="q7V/IlNnMrRGWl81I4r1OA==" spinCount="100000" sheet="1" selectLockedCells="1"/>
  <mergeCells count="18">
    <mergeCell ref="A21:C21"/>
    <mergeCell ref="A22:C22"/>
    <mergeCell ref="D26:G26"/>
    <mergeCell ref="D28:G28"/>
    <mergeCell ref="D15:G15"/>
    <mergeCell ref="D17:G17"/>
    <mergeCell ref="D22:G22"/>
    <mergeCell ref="D24:G24"/>
    <mergeCell ref="A15:C15"/>
    <mergeCell ref="A16:C16"/>
    <mergeCell ref="A17:C17"/>
    <mergeCell ref="A18:C18"/>
    <mergeCell ref="A20:C20"/>
    <mergeCell ref="D30:G30"/>
    <mergeCell ref="D32:G32"/>
    <mergeCell ref="A43:N43"/>
    <mergeCell ref="D35:G35"/>
    <mergeCell ref="D37:G37"/>
  </mergeCells>
  <pageMargins left="0.25" right="0.25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showGridLines="0" zoomScaleNormal="100" workbookViewId="0">
      <selection activeCell="E11" sqref="E11"/>
    </sheetView>
  </sheetViews>
  <sheetFormatPr baseColWidth="10" defaultColWidth="11.42578125" defaultRowHeight="18" customHeight="1" x14ac:dyDescent="0.25"/>
  <cols>
    <col min="1" max="1" width="40.85546875" style="21" bestFit="1" customWidth="1"/>
    <col min="2" max="2" width="20.7109375" style="21" bestFit="1" customWidth="1"/>
    <col min="3" max="3" width="28.5703125" style="21" bestFit="1" customWidth="1"/>
    <col min="4" max="4" width="32.5703125" style="21" bestFit="1" customWidth="1"/>
    <col min="5" max="5" width="24.42578125" style="21" bestFit="1" customWidth="1"/>
    <col min="6" max="6" width="17.7109375" style="21" bestFit="1" customWidth="1"/>
    <col min="7" max="8" width="30.5703125" style="21" bestFit="1" customWidth="1"/>
    <col min="9" max="9" width="27.7109375" style="21" bestFit="1" customWidth="1"/>
    <col min="10" max="10" width="4.42578125" style="21" bestFit="1" customWidth="1"/>
    <col min="11" max="11" width="51.7109375" style="21" customWidth="1"/>
    <col min="12" max="12" width="13.85546875" style="21" customWidth="1"/>
    <col min="13" max="13" width="11.42578125" style="21" customWidth="1"/>
    <col min="14" max="16384" width="11.42578125" style="21"/>
  </cols>
  <sheetData>
    <row r="1" spans="1:12" s="22" customFormat="1" ht="18" customHeight="1" x14ac:dyDescent="0.25">
      <c r="A1" s="18" t="str">
        <f>'Notes + Master data'!D15</f>
        <v>Sample Ltd.</v>
      </c>
      <c r="B1" s="250" t="str">
        <f>'Notes + Master data'!D17</f>
        <v>Round A</v>
      </c>
      <c r="C1" s="250"/>
      <c r="D1" s="19"/>
      <c r="E1" s="19"/>
      <c r="F1" s="19"/>
      <c r="G1" s="19"/>
      <c r="H1" s="20"/>
      <c r="I1" s="20"/>
      <c r="J1" s="20"/>
      <c r="K1" s="21"/>
    </row>
    <row r="2" spans="1:12" s="22" customFormat="1" ht="18" customHeight="1" thickBot="1" x14ac:dyDescent="0.3">
      <c r="A2" s="23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s="22" customFormat="1" ht="18" customHeight="1" thickBot="1" x14ac:dyDescent="0.3">
      <c r="A3" s="24" t="s">
        <v>2</v>
      </c>
      <c r="B3" s="25"/>
      <c r="C3" s="26"/>
      <c r="D3" s="24" t="s">
        <v>3</v>
      </c>
      <c r="E3" s="27"/>
      <c r="F3" s="27"/>
      <c r="G3" s="27"/>
      <c r="H3" s="247" t="s">
        <v>33</v>
      </c>
      <c r="I3" s="248"/>
      <c r="J3" s="249"/>
      <c r="K3" s="29"/>
    </row>
    <row r="4" spans="1:12" s="22" customFormat="1" ht="18" customHeight="1" thickBot="1" x14ac:dyDescent="0.3">
      <c r="A4" s="18" t="s">
        <v>4</v>
      </c>
      <c r="B4" s="30"/>
      <c r="C4" s="31"/>
      <c r="D4" s="32" t="s">
        <v>5</v>
      </c>
      <c r="E4" s="27"/>
      <c r="F4" s="34" t="s">
        <v>6</v>
      </c>
      <c r="G4" s="34" t="s">
        <v>7</v>
      </c>
      <c r="H4" s="229" t="s">
        <v>40</v>
      </c>
      <c r="I4" s="159">
        <f>SUM(E5:E13)</f>
        <v>550000</v>
      </c>
      <c r="J4" s="35"/>
      <c r="K4" s="21"/>
    </row>
    <row r="5" spans="1:12" s="22" customFormat="1" ht="18" customHeight="1" x14ac:dyDescent="0.25">
      <c r="A5" s="36"/>
      <c r="B5" s="37"/>
      <c r="C5" s="38"/>
      <c r="D5" s="39" t="str">
        <f>IF('Notes + Master data'!D22="","",'Notes + Master data'!D22)</f>
        <v>Adrian Zimmermann</v>
      </c>
      <c r="E5" s="40">
        <v>0</v>
      </c>
      <c r="F5" s="41">
        <f>$C$8</f>
        <v>641.70000000000005</v>
      </c>
      <c r="G5" s="42">
        <f>ROUND((E5/$C$8),0)</f>
        <v>0</v>
      </c>
      <c r="H5" s="161" t="s">
        <v>41</v>
      </c>
      <c r="I5" s="231">
        <v>30</v>
      </c>
      <c r="J5" s="49" t="s">
        <v>27</v>
      </c>
      <c r="K5" s="43" t="s">
        <v>63</v>
      </c>
    </row>
    <row r="6" spans="1:12" s="22" customFormat="1" ht="18" customHeight="1" thickBot="1" x14ac:dyDescent="0.3">
      <c r="A6" s="23" t="s">
        <v>7</v>
      </c>
      <c r="C6" s="44">
        <f>IF(B40&lt;=0,"",B40)</f>
        <v>2000</v>
      </c>
      <c r="D6" s="45" t="str">
        <f>IF('Notes + Master data'!D24="","",'Notes + Master data'!D24)</f>
        <v>Eric Francis Johne</v>
      </c>
      <c r="E6" s="46">
        <v>0</v>
      </c>
      <c r="F6" s="47">
        <f t="shared" ref="F6:F10" si="0">$C$8</f>
        <v>641.70000000000005</v>
      </c>
      <c r="G6" s="48">
        <f t="shared" ref="G6:G12" si="1">ROUND((E6/$C$8),0)</f>
        <v>0</v>
      </c>
      <c r="H6" s="161" t="s">
        <v>25</v>
      </c>
      <c r="I6" s="165">
        <f>I4/I5*100</f>
        <v>1833333.3333333333</v>
      </c>
      <c r="J6" s="49"/>
      <c r="K6" s="50" t="s">
        <v>64</v>
      </c>
    </row>
    <row r="7" spans="1:12" s="22" customFormat="1" ht="18" customHeight="1" thickBot="1" x14ac:dyDescent="0.3">
      <c r="A7" s="24" t="s">
        <v>8</v>
      </c>
      <c r="B7" s="51"/>
      <c r="C7" s="52">
        <f>IF(I8="",ROUNDUP(I7,-2),I8)</f>
        <v>1283400</v>
      </c>
      <c r="D7" s="45" t="str">
        <f>IF('Notes + Master data'!D26="","",'Notes + Master data'!D26)</f>
        <v/>
      </c>
      <c r="E7" s="46">
        <v>0</v>
      </c>
      <c r="F7" s="47">
        <f t="shared" si="0"/>
        <v>641.70000000000005</v>
      </c>
      <c r="G7" s="48">
        <f t="shared" si="1"/>
        <v>0</v>
      </c>
      <c r="H7" s="230" t="s">
        <v>26</v>
      </c>
      <c r="I7" s="232">
        <f>I6-I4</f>
        <v>1283333.3333333333</v>
      </c>
      <c r="J7" s="53"/>
      <c r="K7" s="54"/>
    </row>
    <row r="8" spans="1:12" s="22" customFormat="1" ht="18" customHeight="1" x14ac:dyDescent="0.25">
      <c r="A8" s="23" t="s">
        <v>9</v>
      </c>
      <c r="C8" s="55">
        <f>IF(C6="","",C7/C6)</f>
        <v>641.70000000000005</v>
      </c>
      <c r="D8" s="45" t="str">
        <f>IF('Notes + Master data'!D28="","",'Notes + Master data'!D28)</f>
        <v/>
      </c>
      <c r="E8" s="46">
        <v>0</v>
      </c>
      <c r="F8" s="47">
        <f t="shared" si="0"/>
        <v>641.70000000000005</v>
      </c>
      <c r="G8" s="48">
        <f t="shared" si="1"/>
        <v>0</v>
      </c>
      <c r="H8" s="56"/>
      <c r="I8" s="57"/>
      <c r="K8" s="54"/>
    </row>
    <row r="9" spans="1:12" s="22" customFormat="1" ht="18" customHeight="1" x14ac:dyDescent="0.25">
      <c r="A9" s="23"/>
      <c r="C9" s="55"/>
      <c r="D9" s="45" t="str">
        <f>IF('Notes + Master data'!D30="","",'Notes + Master data'!D30)</f>
        <v/>
      </c>
      <c r="E9" s="46">
        <v>0</v>
      </c>
      <c r="F9" s="47">
        <f t="shared" si="0"/>
        <v>641.70000000000005</v>
      </c>
      <c r="G9" s="48">
        <f t="shared" ref="G9:G10" si="2">ROUND((E9/$C$8),0)</f>
        <v>0</v>
      </c>
      <c r="H9" s="58"/>
      <c r="I9" s="57"/>
      <c r="K9" s="54"/>
    </row>
    <row r="10" spans="1:12" s="22" customFormat="1" ht="18" customHeight="1" thickBot="1" x14ac:dyDescent="0.3">
      <c r="A10" s="23"/>
      <c r="C10" s="55"/>
      <c r="D10" s="59" t="str">
        <f>IF('Notes + Master data'!D32="","",'Notes + Master data'!D32)</f>
        <v/>
      </c>
      <c r="E10" s="60">
        <v>0</v>
      </c>
      <c r="F10" s="61">
        <f t="shared" si="0"/>
        <v>641.70000000000005</v>
      </c>
      <c r="G10" s="62">
        <f t="shared" si="2"/>
        <v>0</v>
      </c>
      <c r="H10" s="58"/>
      <c r="I10" s="57"/>
      <c r="K10" s="54"/>
    </row>
    <row r="11" spans="1:12" s="22" customFormat="1" ht="18" customHeight="1" x14ac:dyDescent="0.25">
      <c r="A11" s="36" t="s">
        <v>10</v>
      </c>
      <c r="B11" s="37"/>
      <c r="C11" s="63">
        <v>-1</v>
      </c>
      <c r="D11" s="64" t="str">
        <f>IF('Notes + Master data'!D35="","",'Notes + Master data'!D35)</f>
        <v>Investor I</v>
      </c>
      <c r="E11" s="65">
        <v>500000</v>
      </c>
      <c r="F11" s="66">
        <f t="shared" ref="F11:F12" si="3">IF(E11&gt;0,$C$8,"")</f>
        <v>641.70000000000005</v>
      </c>
      <c r="G11" s="67">
        <f t="shared" si="1"/>
        <v>779</v>
      </c>
      <c r="H11" s="68" t="s">
        <v>65</v>
      </c>
      <c r="I11" s="69"/>
      <c r="J11" s="69"/>
      <c r="K11" s="70"/>
    </row>
    <row r="12" spans="1:12" s="22" customFormat="1" ht="18" customHeight="1" thickBot="1" x14ac:dyDescent="0.3">
      <c r="A12" s="71" t="s">
        <v>11</v>
      </c>
      <c r="B12" s="72"/>
      <c r="C12" s="73">
        <f>SUM(C8:C11)</f>
        <v>640.70000000000005</v>
      </c>
      <c r="D12" s="74" t="str">
        <f>IF('Notes + Master data'!D37="","",'Notes + Master data'!D37)</f>
        <v>Investor II</v>
      </c>
      <c r="E12" s="75">
        <v>50000</v>
      </c>
      <c r="F12" s="76">
        <f t="shared" si="3"/>
        <v>641.70000000000005</v>
      </c>
      <c r="G12" s="77">
        <f t="shared" si="1"/>
        <v>78</v>
      </c>
      <c r="H12" s="78" t="s">
        <v>66</v>
      </c>
      <c r="I12" s="79"/>
      <c r="J12" s="79"/>
      <c r="K12" s="80"/>
    </row>
    <row r="13" spans="1:12" s="22" customFormat="1" ht="18" customHeight="1" thickBot="1" x14ac:dyDescent="0.3">
      <c r="A13" s="81"/>
      <c r="C13" s="82"/>
      <c r="D13" s="83"/>
      <c r="E13" s="56"/>
      <c r="F13" s="58"/>
      <c r="G13" s="84"/>
      <c r="H13" s="85"/>
      <c r="K13" s="54"/>
    </row>
    <row r="14" spans="1:12" s="22" customFormat="1" ht="18" customHeight="1" thickBot="1" x14ac:dyDescent="0.3">
      <c r="A14" s="24" t="s">
        <v>12</v>
      </c>
      <c r="B14" s="25"/>
      <c r="C14" s="25"/>
      <c r="D14" s="86"/>
      <c r="E14" s="87"/>
      <c r="F14" s="21"/>
      <c r="I14" s="57"/>
    </row>
    <row r="15" spans="1:12" ht="18" customHeight="1" thickBot="1" x14ac:dyDescent="0.3">
      <c r="A15" s="88" t="s">
        <v>0</v>
      </c>
      <c r="B15" s="34" t="s">
        <v>13</v>
      </c>
      <c r="C15" s="216" t="s">
        <v>14</v>
      </c>
      <c r="D15" s="89" t="s">
        <v>15</v>
      </c>
      <c r="E15" s="29"/>
      <c r="F15" s="90"/>
      <c r="H15" s="58"/>
      <c r="I15" s="57"/>
      <c r="J15" s="57"/>
      <c r="K15" s="57"/>
      <c r="L15" s="91"/>
    </row>
    <row r="16" spans="1:12" ht="18" customHeight="1" x14ac:dyDescent="0.25">
      <c r="A16" s="92" t="str">
        <f t="shared" ref="A16:A23" si="4">D5</f>
        <v>Adrian Zimmermann</v>
      </c>
      <c r="B16" s="93">
        <f t="shared" ref="B16:B23" si="5">IF(E5&lt;1,0,ROUND(G5,0))</f>
        <v>0</v>
      </c>
      <c r="C16" s="94" t="str">
        <f t="shared" ref="C16:C23" si="6">IF(E5&lt;1,"",E5-B16)</f>
        <v/>
      </c>
      <c r="D16" s="95" t="str">
        <f t="shared" ref="D16:D23" si="7">IF(E5&lt;1,"",B16+C16)</f>
        <v/>
      </c>
      <c r="E16" s="58"/>
      <c r="F16" s="96"/>
      <c r="G16" s="97"/>
      <c r="H16" s="58"/>
      <c r="I16" s="57"/>
      <c r="J16" s="57"/>
      <c r="K16" s="57"/>
    </row>
    <row r="17" spans="1:11" ht="18" customHeight="1" x14ac:dyDescent="0.25">
      <c r="A17" s="92" t="str">
        <f t="shared" si="4"/>
        <v>Eric Francis Johne</v>
      </c>
      <c r="B17" s="93">
        <f t="shared" si="5"/>
        <v>0</v>
      </c>
      <c r="C17" s="94" t="str">
        <f t="shared" si="6"/>
        <v/>
      </c>
      <c r="D17" s="95" t="str">
        <f t="shared" si="7"/>
        <v/>
      </c>
      <c r="E17" s="58"/>
      <c r="F17" s="98"/>
      <c r="G17" s="99"/>
      <c r="I17" s="57"/>
      <c r="J17" s="57"/>
      <c r="K17" s="100"/>
    </row>
    <row r="18" spans="1:11" ht="18" customHeight="1" x14ac:dyDescent="0.25">
      <c r="A18" s="92" t="str">
        <f t="shared" si="4"/>
        <v/>
      </c>
      <c r="B18" s="93">
        <f t="shared" si="5"/>
        <v>0</v>
      </c>
      <c r="C18" s="94" t="str">
        <f t="shared" si="6"/>
        <v/>
      </c>
      <c r="D18" s="95" t="str">
        <f t="shared" si="7"/>
        <v/>
      </c>
      <c r="E18" s="58"/>
      <c r="F18" s="98"/>
      <c r="G18" s="99"/>
      <c r="I18" s="57"/>
      <c r="J18" s="57"/>
      <c r="K18" s="100"/>
    </row>
    <row r="19" spans="1:11" ht="18" customHeight="1" x14ac:dyDescent="0.25">
      <c r="A19" s="92" t="str">
        <f t="shared" si="4"/>
        <v/>
      </c>
      <c r="B19" s="93">
        <f t="shared" si="5"/>
        <v>0</v>
      </c>
      <c r="C19" s="94" t="str">
        <f t="shared" si="6"/>
        <v/>
      </c>
      <c r="D19" s="95" t="str">
        <f t="shared" si="7"/>
        <v/>
      </c>
      <c r="E19" s="58"/>
      <c r="F19" s="98"/>
      <c r="G19" s="99"/>
      <c r="I19" s="57"/>
      <c r="J19" s="57"/>
      <c r="K19" s="100"/>
    </row>
    <row r="20" spans="1:11" s="22" customFormat="1" ht="18" customHeight="1" x14ac:dyDescent="0.25">
      <c r="A20" s="92" t="str">
        <f t="shared" si="4"/>
        <v/>
      </c>
      <c r="B20" s="93">
        <f t="shared" si="5"/>
        <v>0</v>
      </c>
      <c r="C20" s="94" t="str">
        <f t="shared" si="6"/>
        <v/>
      </c>
      <c r="D20" s="95" t="str">
        <f t="shared" si="7"/>
        <v/>
      </c>
      <c r="E20" s="101"/>
      <c r="F20" s="102"/>
      <c r="G20" s="103"/>
    </row>
    <row r="21" spans="1:11" s="22" customFormat="1" ht="18" customHeight="1" x14ac:dyDescent="0.25">
      <c r="A21" s="92" t="str">
        <f t="shared" si="4"/>
        <v/>
      </c>
      <c r="B21" s="93">
        <f t="shared" si="5"/>
        <v>0</v>
      </c>
      <c r="C21" s="94" t="str">
        <f t="shared" si="6"/>
        <v/>
      </c>
      <c r="D21" s="95" t="str">
        <f t="shared" si="7"/>
        <v/>
      </c>
      <c r="E21" s="101"/>
      <c r="F21" s="102"/>
      <c r="G21" s="103"/>
    </row>
    <row r="22" spans="1:11" s="22" customFormat="1" ht="18" customHeight="1" x14ac:dyDescent="0.25">
      <c r="A22" s="104" t="str">
        <f t="shared" si="4"/>
        <v>Investor I</v>
      </c>
      <c r="B22" s="105">
        <f t="shared" si="5"/>
        <v>779</v>
      </c>
      <c r="C22" s="106">
        <f t="shared" si="6"/>
        <v>499221</v>
      </c>
      <c r="D22" s="107">
        <f t="shared" si="7"/>
        <v>500000</v>
      </c>
      <c r="E22" s="101"/>
      <c r="F22" s="102"/>
      <c r="G22" s="108"/>
    </row>
    <row r="23" spans="1:11" s="22" customFormat="1" ht="18" customHeight="1" x14ac:dyDescent="0.25">
      <c r="A23" s="104" t="str">
        <f t="shared" si="4"/>
        <v>Investor II</v>
      </c>
      <c r="B23" s="105">
        <f t="shared" si="5"/>
        <v>78</v>
      </c>
      <c r="C23" s="106">
        <f t="shared" si="6"/>
        <v>49922</v>
      </c>
      <c r="D23" s="107">
        <f t="shared" si="7"/>
        <v>50000</v>
      </c>
      <c r="E23" s="101"/>
      <c r="F23" s="109"/>
      <c r="G23" s="110"/>
    </row>
    <row r="24" spans="1:11" s="22" customFormat="1" ht="18" customHeight="1" thickBot="1" x14ac:dyDescent="0.3">
      <c r="A24" s="92"/>
      <c r="B24" s="93"/>
      <c r="C24" s="94"/>
      <c r="D24" s="111"/>
      <c r="E24" s="58"/>
    </row>
    <row r="25" spans="1:11" s="22" customFormat="1" ht="18" customHeight="1" thickBot="1" x14ac:dyDescent="0.3">
      <c r="A25" s="112" t="s">
        <v>16</v>
      </c>
      <c r="B25" s="113">
        <f>SUM(B20:B24)</f>
        <v>857</v>
      </c>
      <c r="C25" s="114">
        <f>SUM(C16:C24)</f>
        <v>549143</v>
      </c>
      <c r="D25" s="115">
        <f>SUM(D20:D24)</f>
        <v>550000</v>
      </c>
    </row>
    <row r="26" spans="1:11" s="22" customFormat="1" ht="18" customHeight="1" thickBot="1" x14ac:dyDescent="0.3">
      <c r="A26" s="112" t="s">
        <v>17</v>
      </c>
      <c r="B26" s="115">
        <f>C6+B25</f>
        <v>2857</v>
      </c>
      <c r="C26" s="116"/>
      <c r="D26" s="117"/>
      <c r="E26" s="58"/>
      <c r="F26" s="118"/>
      <c r="G26" s="118"/>
      <c r="H26" s="118"/>
      <c r="I26" s="21"/>
      <c r="J26" s="21"/>
      <c r="K26" s="21"/>
    </row>
    <row r="27" spans="1:11" s="22" customFormat="1" ht="18" customHeight="1" thickBot="1" x14ac:dyDescent="0.3">
      <c r="A27" s="23"/>
      <c r="B27" s="21"/>
      <c r="C27" s="21"/>
      <c r="D27" s="21"/>
      <c r="E27" s="21"/>
      <c r="F27" s="21"/>
      <c r="G27" s="21"/>
      <c r="H27" s="21"/>
      <c r="I27" s="21"/>
    </row>
    <row r="28" spans="1:11" s="22" customFormat="1" ht="18" customHeight="1" thickBot="1" x14ac:dyDescent="0.3">
      <c r="A28" s="119" t="s">
        <v>18</v>
      </c>
      <c r="B28" s="120"/>
      <c r="C28" s="120"/>
      <c r="D28" s="120"/>
      <c r="E28" s="120"/>
      <c r="F28" s="120"/>
      <c r="G28" s="121"/>
      <c r="H28" s="122"/>
    </row>
    <row r="29" spans="1:11" s="22" customFormat="1" ht="18" customHeight="1" x14ac:dyDescent="0.25">
      <c r="A29" s="119" t="s">
        <v>0</v>
      </c>
      <c r="B29" s="210" t="s">
        <v>7</v>
      </c>
      <c r="C29" s="210" t="s">
        <v>19</v>
      </c>
      <c r="D29" s="210" t="s">
        <v>7</v>
      </c>
      <c r="E29" s="210" t="s">
        <v>19</v>
      </c>
      <c r="F29" s="124" t="s">
        <v>1</v>
      </c>
      <c r="G29" s="211" t="s">
        <v>20</v>
      </c>
      <c r="H29" s="124" t="s">
        <v>21</v>
      </c>
    </row>
    <row r="30" spans="1:11" s="22" customFormat="1" ht="18" customHeight="1" thickBot="1" x14ac:dyDescent="0.3">
      <c r="A30" s="127"/>
      <c r="B30" s="212" t="s">
        <v>22</v>
      </c>
      <c r="C30" s="212" t="s">
        <v>22</v>
      </c>
      <c r="D30" s="212" t="s">
        <v>23</v>
      </c>
      <c r="E30" s="212" t="s">
        <v>23</v>
      </c>
      <c r="F30" s="213"/>
      <c r="G30" s="214">
        <f>C7</f>
        <v>1283400</v>
      </c>
      <c r="H30" s="215">
        <f>G30+D25</f>
        <v>1833400</v>
      </c>
    </row>
    <row r="31" spans="1:11" s="22" customFormat="1" ht="18" customHeight="1" x14ac:dyDescent="0.25">
      <c r="A31" s="131" t="str">
        <f>A16</f>
        <v>Adrian Zimmermann</v>
      </c>
      <c r="B31" s="132">
        <f>'Notes + Master data'!H22</f>
        <v>1498</v>
      </c>
      <c r="C31" s="133">
        <f>B31/$B$40</f>
        <v>0.749</v>
      </c>
      <c r="D31" s="134">
        <f t="shared" ref="D31:D38" si="8">B31+G5</f>
        <v>1498</v>
      </c>
      <c r="E31" s="135">
        <f>D31/$D$40</f>
        <v>0.52432621631081555</v>
      </c>
      <c r="F31" s="136">
        <f>E31-C31</f>
        <v>-0.22467378368918445</v>
      </c>
      <c r="G31" s="137">
        <f>$G$30*C31</f>
        <v>961266.6</v>
      </c>
      <c r="H31" s="138">
        <f>$H$30*E31</f>
        <v>961299.68498424918</v>
      </c>
      <c r="J31" s="139"/>
      <c r="K31" s="139"/>
    </row>
    <row r="32" spans="1:11" s="22" customFormat="1" ht="18" customHeight="1" x14ac:dyDescent="0.25">
      <c r="A32" s="131" t="str">
        <f>A17</f>
        <v>Eric Francis Johne</v>
      </c>
      <c r="B32" s="132">
        <f>'Notes + Master data'!H24</f>
        <v>502</v>
      </c>
      <c r="C32" s="133">
        <f>B32/$B$40</f>
        <v>0.251</v>
      </c>
      <c r="D32" s="134">
        <f t="shared" si="8"/>
        <v>502</v>
      </c>
      <c r="E32" s="135">
        <f>D32/$D$40</f>
        <v>0.17570878543927196</v>
      </c>
      <c r="F32" s="136">
        <f t="shared" ref="F32:F39" si="9">E32-C32</f>
        <v>-7.5291214560728043E-2</v>
      </c>
      <c r="G32" s="140">
        <f>$G$30*C32</f>
        <v>322133.40000000002</v>
      </c>
      <c r="H32" s="141">
        <f>$H$30*E32</f>
        <v>322144.48722436122</v>
      </c>
      <c r="J32" s="139"/>
      <c r="K32" s="139"/>
    </row>
    <row r="33" spans="1:11" s="22" customFormat="1" ht="18" customHeight="1" x14ac:dyDescent="0.25">
      <c r="A33" s="131" t="str">
        <f t="shared" ref="A33:A36" si="10">A18</f>
        <v/>
      </c>
      <c r="B33" s="132">
        <f>'Notes + Master data'!H25</f>
        <v>0</v>
      </c>
      <c r="C33" s="133">
        <f t="shared" ref="C33:C36" si="11">B33/$B$40</f>
        <v>0</v>
      </c>
      <c r="D33" s="134">
        <f t="shared" si="8"/>
        <v>0</v>
      </c>
      <c r="E33" s="135">
        <f t="shared" ref="E33:E36" si="12">D33/$D$40</f>
        <v>0</v>
      </c>
      <c r="F33" s="136">
        <f t="shared" ref="F33:F36" si="13">E33-C33</f>
        <v>0</v>
      </c>
      <c r="G33" s="140">
        <f t="shared" ref="G33:G36" si="14">$G$30*C33</f>
        <v>0</v>
      </c>
      <c r="H33" s="141">
        <f t="shared" ref="H33:H36" si="15">$H$30*E33</f>
        <v>0</v>
      </c>
      <c r="J33" s="139"/>
      <c r="K33" s="139"/>
    </row>
    <row r="34" spans="1:11" s="22" customFormat="1" ht="18" customHeight="1" x14ac:dyDescent="0.25">
      <c r="A34" s="131" t="str">
        <f t="shared" si="10"/>
        <v/>
      </c>
      <c r="B34" s="132">
        <f>'Notes + Master data'!H26</f>
        <v>0</v>
      </c>
      <c r="C34" s="133">
        <f t="shared" si="11"/>
        <v>0</v>
      </c>
      <c r="D34" s="134">
        <f t="shared" si="8"/>
        <v>0</v>
      </c>
      <c r="E34" s="135">
        <f t="shared" si="12"/>
        <v>0</v>
      </c>
      <c r="F34" s="136">
        <f t="shared" si="13"/>
        <v>0</v>
      </c>
      <c r="G34" s="140">
        <f t="shared" si="14"/>
        <v>0</v>
      </c>
      <c r="H34" s="141">
        <f t="shared" si="15"/>
        <v>0</v>
      </c>
      <c r="J34" s="139"/>
      <c r="K34" s="139"/>
    </row>
    <row r="35" spans="1:11" ht="18" customHeight="1" x14ac:dyDescent="0.25">
      <c r="A35" s="131" t="str">
        <f t="shared" si="10"/>
        <v/>
      </c>
      <c r="B35" s="132">
        <f>'Notes + Master data'!H27</f>
        <v>0</v>
      </c>
      <c r="C35" s="133">
        <f t="shared" si="11"/>
        <v>0</v>
      </c>
      <c r="D35" s="134">
        <f t="shared" si="8"/>
        <v>0</v>
      </c>
      <c r="E35" s="135">
        <f t="shared" si="12"/>
        <v>0</v>
      </c>
      <c r="F35" s="136">
        <f t="shared" si="13"/>
        <v>0</v>
      </c>
      <c r="G35" s="140">
        <f t="shared" si="14"/>
        <v>0</v>
      </c>
      <c r="H35" s="141">
        <f t="shared" si="15"/>
        <v>0</v>
      </c>
      <c r="I35" s="22"/>
      <c r="J35" s="139"/>
      <c r="K35" s="139"/>
    </row>
    <row r="36" spans="1:11" ht="18" customHeight="1" x14ac:dyDescent="0.25">
      <c r="A36" s="131" t="str">
        <f t="shared" si="10"/>
        <v/>
      </c>
      <c r="B36" s="132">
        <f>'Notes + Master data'!H28</f>
        <v>0</v>
      </c>
      <c r="C36" s="133">
        <f t="shared" si="11"/>
        <v>0</v>
      </c>
      <c r="D36" s="134">
        <f t="shared" si="8"/>
        <v>0</v>
      </c>
      <c r="E36" s="135">
        <f t="shared" si="12"/>
        <v>0</v>
      </c>
      <c r="F36" s="136">
        <f t="shared" si="13"/>
        <v>0</v>
      </c>
      <c r="G36" s="140">
        <f t="shared" si="14"/>
        <v>0</v>
      </c>
      <c r="H36" s="141">
        <f t="shared" si="15"/>
        <v>0</v>
      </c>
      <c r="I36" s="22"/>
      <c r="J36" s="139"/>
      <c r="K36" s="139"/>
    </row>
    <row r="37" spans="1:11" ht="18" customHeight="1" x14ac:dyDescent="0.25">
      <c r="A37" s="131" t="str">
        <f>A22</f>
        <v>Investor I</v>
      </c>
      <c r="B37" s="132"/>
      <c r="C37" s="133">
        <f>B37/$B$40</f>
        <v>0</v>
      </c>
      <c r="D37" s="134">
        <f t="shared" si="8"/>
        <v>779</v>
      </c>
      <c r="E37" s="135">
        <f>D37/$D$40</f>
        <v>0.27266363318165909</v>
      </c>
      <c r="F37" s="136">
        <f t="shared" si="9"/>
        <v>0.27266363318165909</v>
      </c>
      <c r="G37" s="140">
        <f>$G$30*C37</f>
        <v>0</v>
      </c>
      <c r="H37" s="141">
        <f>$H$30*E37</f>
        <v>499901.50507525378</v>
      </c>
      <c r="I37" s="22"/>
      <c r="J37" s="139"/>
      <c r="K37" s="139"/>
    </row>
    <row r="38" spans="1:11" ht="18" customHeight="1" x14ac:dyDescent="0.25">
      <c r="A38" s="131" t="str">
        <f>A23</f>
        <v>Investor II</v>
      </c>
      <c r="B38" s="132"/>
      <c r="C38" s="133">
        <f>B38/$B$40</f>
        <v>0</v>
      </c>
      <c r="D38" s="134">
        <f t="shared" si="8"/>
        <v>78</v>
      </c>
      <c r="E38" s="135">
        <f>D38/$D$40</f>
        <v>2.7301365068253414E-2</v>
      </c>
      <c r="F38" s="136">
        <f t="shared" ref="F38" si="16">E38-C38</f>
        <v>2.7301365068253414E-2</v>
      </c>
      <c r="G38" s="140">
        <f t="shared" ref="G38" si="17">$G$30*C38</f>
        <v>0</v>
      </c>
      <c r="H38" s="141">
        <f t="shared" ref="H38" si="18">$H$30*E38</f>
        <v>50054.322716135808</v>
      </c>
      <c r="I38" s="22"/>
      <c r="J38" s="139"/>
      <c r="K38" s="139"/>
    </row>
    <row r="39" spans="1:11" ht="18" customHeight="1" thickBot="1" x14ac:dyDescent="0.3">
      <c r="A39" s="142" t="s">
        <v>28</v>
      </c>
      <c r="B39" s="143"/>
      <c r="C39" s="144"/>
      <c r="D39" s="145">
        <f>SUM(D37:D38)</f>
        <v>857</v>
      </c>
      <c r="E39" s="146">
        <f>D39/$D$40</f>
        <v>0.29996499824991252</v>
      </c>
      <c r="F39" s="147">
        <f t="shared" si="9"/>
        <v>0.29996499824991252</v>
      </c>
      <c r="G39" s="148"/>
      <c r="H39" s="149"/>
      <c r="I39" s="22"/>
      <c r="J39" s="139"/>
    </row>
    <row r="40" spans="1:11" ht="18" customHeight="1" thickBot="1" x14ac:dyDescent="0.3">
      <c r="A40" s="150" t="s">
        <v>15</v>
      </c>
      <c r="B40" s="151">
        <f>SUM(B31:B38)</f>
        <v>2000</v>
      </c>
      <c r="C40" s="152">
        <f t="shared" ref="C40:H40" si="19">SUM(C31:C38)</f>
        <v>1</v>
      </c>
      <c r="D40" s="151">
        <f t="shared" si="19"/>
        <v>2857</v>
      </c>
      <c r="E40" s="152">
        <f t="shared" si="19"/>
        <v>1</v>
      </c>
      <c r="F40" s="152">
        <f>SUM(F31:F38)</f>
        <v>0</v>
      </c>
      <c r="G40" s="153">
        <f t="shared" si="19"/>
        <v>1283400</v>
      </c>
      <c r="H40" s="154">
        <f t="shared" si="19"/>
        <v>1833400</v>
      </c>
    </row>
    <row r="41" spans="1:11" ht="18" customHeight="1" thickBot="1" x14ac:dyDescent="0.3">
      <c r="A41" s="155"/>
      <c r="B41" s="25"/>
      <c r="C41" s="25"/>
      <c r="D41" s="25"/>
      <c r="E41" s="25"/>
      <c r="F41" s="25"/>
      <c r="G41" s="25"/>
      <c r="H41" s="26"/>
      <c r="I41" s="22"/>
    </row>
    <row r="46" spans="1:11" ht="18" customHeight="1" x14ac:dyDescent="0.25">
      <c r="C46" s="58"/>
    </row>
  </sheetData>
  <sheetProtection algorithmName="SHA-512" hashValue="6/64h+rfqMA6TqlegWrCGbeFbsEaD0ONBaK4ZNn25nTOriii/bVTS6vB1RviMIHApu9U6U6kKm1njKN/hY9P6Q==" saltValue="JQRnV1l38ObKTjQWb5bNZw==" spinCount="100000" sheet="1" selectLockedCells="1"/>
  <mergeCells count="2">
    <mergeCell ref="H3:J3"/>
    <mergeCell ref="B1:C1"/>
  </mergeCells>
  <pageMargins left="0.4" right="0.2" top="0.78740157480314965" bottom="0.78740157480314965" header="0.31496062992125984" footer="0.31496062992125984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9"/>
  <sheetViews>
    <sheetView showGridLines="0" topLeftCell="A16" zoomScaleNormal="100" workbookViewId="0">
      <selection activeCell="E11" sqref="E11"/>
    </sheetView>
  </sheetViews>
  <sheetFormatPr baseColWidth="10" defaultColWidth="11.42578125" defaultRowHeight="18" customHeight="1" x14ac:dyDescent="0.25"/>
  <cols>
    <col min="1" max="1" width="40.85546875" style="21" bestFit="1" customWidth="1"/>
    <col min="2" max="2" width="20.7109375" style="21" bestFit="1" customWidth="1"/>
    <col min="3" max="3" width="28.5703125" style="21" bestFit="1" customWidth="1"/>
    <col min="4" max="4" width="32.5703125" style="21" bestFit="1" customWidth="1"/>
    <col min="5" max="5" width="24.42578125" style="21" bestFit="1" customWidth="1"/>
    <col min="6" max="6" width="17.7109375" style="21" bestFit="1" customWidth="1"/>
    <col min="7" max="8" width="30.5703125" style="21" bestFit="1" customWidth="1"/>
    <col min="9" max="9" width="27.7109375" style="21" bestFit="1" customWidth="1"/>
    <col min="10" max="10" width="4.42578125" style="21" bestFit="1" customWidth="1"/>
    <col min="11" max="11" width="39.5703125" style="21" bestFit="1" customWidth="1"/>
    <col min="12" max="12" width="13.85546875" style="21" customWidth="1"/>
    <col min="13" max="13" width="11.42578125" style="21" customWidth="1"/>
    <col min="14" max="16384" width="11.42578125" style="21"/>
  </cols>
  <sheetData>
    <row r="1" spans="1:12" s="22" customFormat="1" ht="18" customHeight="1" x14ac:dyDescent="0.25">
      <c r="A1" s="18" t="str">
        <f>'1. Invest + %'!A1</f>
        <v>Sample Ltd.</v>
      </c>
      <c r="B1" s="18" t="str">
        <f>'1. Invest + %'!B1</f>
        <v>Round A</v>
      </c>
      <c r="C1" s="30"/>
      <c r="D1" s="19"/>
      <c r="E1" s="19"/>
      <c r="F1" s="19"/>
      <c r="G1" s="19"/>
      <c r="H1" s="20"/>
      <c r="I1" s="20"/>
      <c r="J1" s="20"/>
      <c r="K1" s="21"/>
    </row>
    <row r="2" spans="1:12" s="22" customFormat="1" ht="18" customHeight="1" thickBot="1" x14ac:dyDescent="0.3">
      <c r="A2" s="23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s="22" customFormat="1" ht="18" customHeight="1" thickBot="1" x14ac:dyDescent="0.3">
      <c r="A3" s="24" t="s">
        <v>2</v>
      </c>
      <c r="B3" s="25"/>
      <c r="C3" s="26"/>
      <c r="D3" s="24" t="s">
        <v>3</v>
      </c>
      <c r="E3" s="27"/>
      <c r="F3" s="27"/>
      <c r="G3" s="27"/>
      <c r="H3" s="251" t="s">
        <v>24</v>
      </c>
      <c r="I3" s="252"/>
      <c r="J3" s="253"/>
      <c r="K3" s="29"/>
    </row>
    <row r="4" spans="1:12" s="22" customFormat="1" ht="18" customHeight="1" thickBot="1" x14ac:dyDescent="0.3">
      <c r="A4" s="18" t="s">
        <v>4</v>
      </c>
      <c r="B4" s="30"/>
      <c r="C4" s="156"/>
      <c r="D4" s="24" t="s">
        <v>5</v>
      </c>
      <c r="E4" s="24"/>
      <c r="F4" s="33" t="s">
        <v>6</v>
      </c>
      <c r="G4" s="34" t="s">
        <v>7</v>
      </c>
      <c r="H4" s="36" t="s">
        <v>40</v>
      </c>
      <c r="I4" s="224">
        <f>SUM(E5:E12)</f>
        <v>550000</v>
      </c>
      <c r="J4" s="35"/>
      <c r="K4" s="21"/>
    </row>
    <row r="5" spans="1:12" s="22" customFormat="1" ht="18" customHeight="1" x14ac:dyDescent="0.25">
      <c r="A5" s="36"/>
      <c r="B5" s="37"/>
      <c r="C5" s="38"/>
      <c r="D5" s="194" t="str">
        <f>'1. Invest + %'!D5</f>
        <v>Adrian Zimmermann</v>
      </c>
      <c r="E5" s="46">
        <v>0</v>
      </c>
      <c r="F5" s="195">
        <f>$C$8</f>
        <v>500</v>
      </c>
      <c r="G5" s="48">
        <f>ROUND((E5/$C$8),0)</f>
        <v>0</v>
      </c>
      <c r="H5" s="221" t="s">
        <v>41</v>
      </c>
      <c r="I5" s="225">
        <f>E39</f>
        <v>0.35483870967741937</v>
      </c>
      <c r="J5" s="49"/>
      <c r="K5" s="54"/>
    </row>
    <row r="6" spans="1:12" s="22" customFormat="1" ht="18" customHeight="1" thickBot="1" x14ac:dyDescent="0.3">
      <c r="A6" s="23" t="s">
        <v>7</v>
      </c>
      <c r="C6" s="44">
        <f>B40</f>
        <v>2000</v>
      </c>
      <c r="D6" s="45" t="str">
        <f>'1. Invest + %'!D6</f>
        <v>Eric Francis Johne</v>
      </c>
      <c r="E6" s="46">
        <v>0</v>
      </c>
      <c r="F6" s="47">
        <f t="shared" ref="F6:F10" si="0">$C$8</f>
        <v>500</v>
      </c>
      <c r="G6" s="48">
        <f t="shared" ref="G6" si="1">ROUND((E6/$C$8),0)</f>
        <v>0</v>
      </c>
      <c r="H6" s="221" t="s">
        <v>25</v>
      </c>
      <c r="I6" s="226">
        <f>I7+I4</f>
        <v>1550000</v>
      </c>
      <c r="J6" s="49"/>
      <c r="K6" s="54"/>
    </row>
    <row r="7" spans="1:12" s="22" customFormat="1" ht="18" customHeight="1" thickBot="1" x14ac:dyDescent="0.3">
      <c r="A7" s="24" t="s">
        <v>8</v>
      </c>
      <c r="B7" s="51"/>
      <c r="C7" s="52">
        <f>IF(I8="",ROUNDUP(I7,-2),I8)</f>
        <v>1000000</v>
      </c>
      <c r="D7" s="45" t="str">
        <f>'1. Invest + %'!D7</f>
        <v/>
      </c>
      <c r="E7" s="46">
        <v>0</v>
      </c>
      <c r="F7" s="47">
        <f t="shared" si="0"/>
        <v>500</v>
      </c>
      <c r="G7" s="48">
        <f t="shared" ref="G7:G10" si="2">ROUND((E7/$C$8),0)</f>
        <v>0</v>
      </c>
      <c r="H7" s="222" t="s">
        <v>26</v>
      </c>
      <c r="I7" s="227">
        <f>C7</f>
        <v>1000000</v>
      </c>
      <c r="J7" s="168"/>
      <c r="K7" s="54"/>
    </row>
    <row r="8" spans="1:12" s="22" customFormat="1" ht="18" customHeight="1" thickBot="1" x14ac:dyDescent="0.3">
      <c r="A8" s="23" t="s">
        <v>9</v>
      </c>
      <c r="C8" s="55">
        <f>C7/C6</f>
        <v>500</v>
      </c>
      <c r="D8" s="45" t="str">
        <f>'1. Invest + %'!D8</f>
        <v/>
      </c>
      <c r="E8" s="46">
        <v>0</v>
      </c>
      <c r="F8" s="47">
        <f t="shared" si="0"/>
        <v>500</v>
      </c>
      <c r="G8" s="48">
        <f t="shared" si="2"/>
        <v>0</v>
      </c>
      <c r="H8" s="223" t="s">
        <v>32</v>
      </c>
      <c r="I8" s="228">
        <v>1000000</v>
      </c>
      <c r="J8" s="196"/>
      <c r="K8" s="197" t="s">
        <v>67</v>
      </c>
    </row>
    <row r="9" spans="1:12" s="22" customFormat="1" ht="18" customHeight="1" x14ac:dyDescent="0.25">
      <c r="A9" s="36" t="s">
        <v>10</v>
      </c>
      <c r="B9" s="37"/>
      <c r="C9" s="63">
        <v>-1</v>
      </c>
      <c r="D9" s="45" t="str">
        <f>'1. Invest + %'!D9</f>
        <v/>
      </c>
      <c r="E9" s="46">
        <v>0</v>
      </c>
      <c r="F9" s="47">
        <f t="shared" si="0"/>
        <v>500</v>
      </c>
      <c r="G9" s="48">
        <f t="shared" si="2"/>
        <v>0</v>
      </c>
      <c r="K9" s="54"/>
    </row>
    <row r="10" spans="1:12" s="22" customFormat="1" ht="18" customHeight="1" thickBot="1" x14ac:dyDescent="0.3">
      <c r="A10" s="71" t="s">
        <v>11</v>
      </c>
      <c r="B10" s="72"/>
      <c r="C10" s="73">
        <f>SUM(C8:C9)</f>
        <v>499</v>
      </c>
      <c r="D10" s="198" t="str">
        <f>'1. Invest + %'!D10</f>
        <v/>
      </c>
      <c r="E10" s="46">
        <v>0</v>
      </c>
      <c r="F10" s="61">
        <f t="shared" si="0"/>
        <v>500</v>
      </c>
      <c r="G10" s="199">
        <f t="shared" si="2"/>
        <v>0</v>
      </c>
      <c r="K10" s="54"/>
    </row>
    <row r="11" spans="1:12" s="22" customFormat="1" ht="18" customHeight="1" x14ac:dyDescent="0.25">
      <c r="A11" s="81"/>
      <c r="C11" s="82"/>
      <c r="D11" s="39" t="str">
        <f>'1. Invest + %'!D11</f>
        <v>Investor I</v>
      </c>
      <c r="E11" s="65">
        <v>500000</v>
      </c>
      <c r="F11" s="66">
        <f t="shared" ref="F11" si="3">IF(E11&gt;0,$C$8,"")</f>
        <v>500</v>
      </c>
      <c r="G11" s="67">
        <f>ROUND((E11/$C$8),0)</f>
        <v>1000</v>
      </c>
      <c r="H11" s="200" t="s">
        <v>65</v>
      </c>
      <c r="I11" s="69"/>
      <c r="J11" s="69"/>
      <c r="K11" s="70"/>
    </row>
    <row r="12" spans="1:12" s="22" customFormat="1" ht="18" customHeight="1" thickBot="1" x14ac:dyDescent="0.3">
      <c r="A12" s="174"/>
      <c r="C12" s="82"/>
      <c r="D12" s="201" t="str">
        <f>'1. Invest + %'!D12</f>
        <v>Investor II</v>
      </c>
      <c r="E12" s="75">
        <v>50000</v>
      </c>
      <c r="F12" s="76">
        <f t="shared" ref="F12" si="4">IF(E12&gt;0,$C$8,"")</f>
        <v>500</v>
      </c>
      <c r="G12" s="77">
        <f t="shared" ref="G12" si="5">ROUND((E12/$C$8),0)</f>
        <v>100</v>
      </c>
      <c r="H12" s="202" t="s">
        <v>66</v>
      </c>
      <c r="I12" s="79"/>
      <c r="J12" s="79"/>
      <c r="K12" s="80"/>
      <c r="L12" s="21"/>
    </row>
    <row r="13" spans="1:12" s="22" customFormat="1" ht="18" customHeight="1" thickBot="1" x14ac:dyDescent="0.3">
      <c r="A13" s="180"/>
      <c r="B13" s="181"/>
      <c r="C13" s="182"/>
      <c r="D13" s="21"/>
      <c r="E13" s="21"/>
      <c r="F13" s="21"/>
      <c r="G13" s="21"/>
      <c r="H13" s="21"/>
      <c r="I13" s="21"/>
      <c r="J13" s="21"/>
      <c r="K13" s="21"/>
      <c r="L13" s="21"/>
    </row>
    <row r="14" spans="1:12" s="22" customFormat="1" ht="18" customHeight="1" thickBot="1" x14ac:dyDescent="0.3">
      <c r="A14" s="24" t="s">
        <v>12</v>
      </c>
      <c r="B14" s="25"/>
      <c r="C14" s="25"/>
      <c r="D14" s="86"/>
      <c r="E14" s="87"/>
      <c r="F14" s="21"/>
    </row>
    <row r="15" spans="1:12" ht="18" customHeight="1" thickBot="1" x14ac:dyDescent="0.3">
      <c r="A15" s="88" t="s">
        <v>0</v>
      </c>
      <c r="B15" s="34" t="s">
        <v>13</v>
      </c>
      <c r="C15" s="216" t="s">
        <v>14</v>
      </c>
      <c r="D15" s="89" t="s">
        <v>15</v>
      </c>
      <c r="E15" s="29"/>
      <c r="F15" s="90"/>
      <c r="L15" s="91"/>
    </row>
    <row r="16" spans="1:12" ht="18" customHeight="1" x14ac:dyDescent="0.25">
      <c r="A16" s="92" t="str">
        <f>D5</f>
        <v>Adrian Zimmermann</v>
      </c>
      <c r="B16" s="93">
        <f>IF(E5&lt;1,0,ROUND(G5,0))</f>
        <v>0</v>
      </c>
      <c r="C16" s="94" t="str">
        <f>IF(E5&lt;1,"",E5-B16)</f>
        <v/>
      </c>
      <c r="D16" s="203" t="str">
        <f>IF(E5&lt;1,"",B16+C16)</f>
        <v/>
      </c>
      <c r="E16" s="58"/>
      <c r="F16" s="96"/>
      <c r="G16" s="97"/>
    </row>
    <row r="17" spans="1:11" ht="18" customHeight="1" x14ac:dyDescent="0.25">
      <c r="A17" s="92" t="str">
        <f>D6</f>
        <v>Eric Francis Johne</v>
      </c>
      <c r="B17" s="93">
        <f>IF(E6&lt;1,0,ROUND(G6,0))</f>
        <v>0</v>
      </c>
      <c r="C17" s="94" t="str">
        <f>IF(E6&lt;1,"",E6-B17)</f>
        <v/>
      </c>
      <c r="D17" s="203" t="str">
        <f>IF(E6&lt;1,"",B17+C17)</f>
        <v/>
      </c>
      <c r="E17" s="58"/>
      <c r="F17" s="98"/>
      <c r="G17" s="99"/>
    </row>
    <row r="18" spans="1:11" ht="18" customHeight="1" x14ac:dyDescent="0.25">
      <c r="A18" s="92" t="str">
        <f t="shared" ref="A18:A23" si="6">D7</f>
        <v/>
      </c>
      <c r="B18" s="93">
        <f t="shared" ref="B18:B21" si="7">IF(E7&lt;1,0,ROUND(G7,0))</f>
        <v>0</v>
      </c>
      <c r="C18" s="94" t="str">
        <f t="shared" ref="C18:C21" si="8">IF(E7&lt;1,"",E7-B18)</f>
        <v/>
      </c>
      <c r="D18" s="203" t="str">
        <f t="shared" ref="D18:D21" si="9">IF(E7&lt;1,"",B18+C18)</f>
        <v/>
      </c>
      <c r="E18" s="58"/>
      <c r="F18" s="98"/>
      <c r="G18" s="99"/>
    </row>
    <row r="19" spans="1:11" ht="18" customHeight="1" x14ac:dyDescent="0.25">
      <c r="A19" s="92" t="str">
        <f t="shared" si="6"/>
        <v/>
      </c>
      <c r="B19" s="93">
        <f t="shared" si="7"/>
        <v>0</v>
      </c>
      <c r="C19" s="94" t="str">
        <f t="shared" si="8"/>
        <v/>
      </c>
      <c r="D19" s="203" t="str">
        <f t="shared" si="9"/>
        <v/>
      </c>
      <c r="E19" s="58"/>
      <c r="F19" s="98"/>
      <c r="G19" s="99"/>
    </row>
    <row r="20" spans="1:11" s="22" customFormat="1" ht="18" customHeight="1" x14ac:dyDescent="0.25">
      <c r="A20" s="92" t="str">
        <f t="shared" si="6"/>
        <v/>
      </c>
      <c r="B20" s="93">
        <f t="shared" si="7"/>
        <v>0</v>
      </c>
      <c r="C20" s="94" t="str">
        <f t="shared" si="8"/>
        <v/>
      </c>
      <c r="D20" s="203" t="str">
        <f t="shared" si="9"/>
        <v/>
      </c>
      <c r="E20" s="101"/>
      <c r="F20" s="102"/>
      <c r="G20" s="103"/>
      <c r="I20" s="139"/>
    </row>
    <row r="21" spans="1:11" s="22" customFormat="1" ht="18" customHeight="1" x14ac:dyDescent="0.25">
      <c r="A21" s="92" t="str">
        <f t="shared" si="6"/>
        <v/>
      </c>
      <c r="B21" s="93">
        <f t="shared" si="7"/>
        <v>0</v>
      </c>
      <c r="C21" s="94" t="str">
        <f t="shared" si="8"/>
        <v/>
      </c>
      <c r="D21" s="203" t="str">
        <f t="shared" si="9"/>
        <v/>
      </c>
      <c r="E21" s="101"/>
      <c r="F21" s="102"/>
      <c r="G21" s="103"/>
    </row>
    <row r="22" spans="1:11" s="22" customFormat="1" ht="18" customHeight="1" x14ac:dyDescent="0.25">
      <c r="A22" s="92" t="str">
        <f t="shared" si="6"/>
        <v>Investor I</v>
      </c>
      <c r="B22" s="105">
        <f>IF(E11&lt;1,0,ROUND(G11,0))</f>
        <v>1000</v>
      </c>
      <c r="C22" s="204">
        <f>IF(E11&lt;1,"",E11-B22)</f>
        <v>499000</v>
      </c>
      <c r="D22" s="205">
        <f>IF(E11&lt;1,"",B22+C22)</f>
        <v>500000</v>
      </c>
      <c r="E22" s="101"/>
      <c r="F22" s="102"/>
      <c r="G22" s="108"/>
    </row>
    <row r="23" spans="1:11" s="22" customFormat="1" ht="18" customHeight="1" x14ac:dyDescent="0.25">
      <c r="A23" s="92" t="str">
        <f t="shared" si="6"/>
        <v>Investor II</v>
      </c>
      <c r="B23" s="105">
        <f>IF(E12&lt;1,0,ROUND(G12,0))</f>
        <v>100</v>
      </c>
      <c r="C23" s="204">
        <f>IF(E12&lt;1,"",E12-B23)</f>
        <v>49900</v>
      </c>
      <c r="D23" s="205">
        <f>IF(E12&lt;1,"",B23+C23)</f>
        <v>50000</v>
      </c>
      <c r="E23" s="101"/>
      <c r="F23" s="109"/>
      <c r="G23" s="110"/>
    </row>
    <row r="24" spans="1:11" s="22" customFormat="1" ht="18" customHeight="1" thickBot="1" x14ac:dyDescent="0.3">
      <c r="A24" s="92"/>
      <c r="B24" s="93"/>
      <c r="C24" s="94"/>
      <c r="D24" s="183"/>
      <c r="E24" s="58"/>
    </row>
    <row r="25" spans="1:11" s="22" customFormat="1" ht="18" customHeight="1" thickBot="1" x14ac:dyDescent="0.3">
      <c r="A25" s="112" t="s">
        <v>16</v>
      </c>
      <c r="B25" s="113">
        <f>SUM(B20:B24)</f>
        <v>1100</v>
      </c>
      <c r="C25" s="114">
        <f>SUM(C16:C24)</f>
        <v>548900</v>
      </c>
      <c r="D25" s="184">
        <f>SUM(D20:D24)</f>
        <v>550000</v>
      </c>
    </row>
    <row r="26" spans="1:11" s="22" customFormat="1" ht="18" customHeight="1" thickBot="1" x14ac:dyDescent="0.3">
      <c r="A26" s="112" t="s">
        <v>17</v>
      </c>
      <c r="B26" s="115">
        <f>C6+B25</f>
        <v>3100</v>
      </c>
      <c r="C26" s="116"/>
      <c r="D26" s="117"/>
      <c r="E26" s="58"/>
      <c r="F26" s="118"/>
      <c r="G26" s="118"/>
      <c r="H26" s="118"/>
      <c r="I26" s="21"/>
      <c r="J26" s="21"/>
      <c r="K26" s="21"/>
    </row>
    <row r="27" spans="1:11" s="22" customFormat="1" ht="18" customHeight="1" thickBot="1" x14ac:dyDescent="0.3">
      <c r="A27" s="23"/>
      <c r="B27" s="21"/>
      <c r="C27" s="21"/>
      <c r="D27" s="21"/>
      <c r="E27" s="21"/>
      <c r="F27" s="21"/>
      <c r="G27" s="21"/>
      <c r="H27" s="21"/>
      <c r="I27" s="21"/>
    </row>
    <row r="28" spans="1:11" s="22" customFormat="1" ht="18" customHeight="1" thickBot="1" x14ac:dyDescent="0.3">
      <c r="A28" s="185" t="s">
        <v>18</v>
      </c>
      <c r="B28" s="120"/>
      <c r="C28" s="120"/>
      <c r="D28" s="120"/>
      <c r="E28" s="120"/>
      <c r="F28" s="120"/>
      <c r="G28" s="121"/>
      <c r="H28" s="122"/>
    </row>
    <row r="29" spans="1:11" s="22" customFormat="1" ht="18" customHeight="1" x14ac:dyDescent="0.25">
      <c r="A29" s="185" t="s">
        <v>0</v>
      </c>
      <c r="B29" s="210" t="s">
        <v>7</v>
      </c>
      <c r="C29" s="210" t="s">
        <v>19</v>
      </c>
      <c r="D29" s="210" t="s">
        <v>7</v>
      </c>
      <c r="E29" s="210" t="s">
        <v>19</v>
      </c>
      <c r="F29" s="124" t="s">
        <v>1</v>
      </c>
      <c r="G29" s="211" t="s">
        <v>20</v>
      </c>
      <c r="H29" s="124" t="s">
        <v>21</v>
      </c>
    </row>
    <row r="30" spans="1:11" s="22" customFormat="1" ht="18" customHeight="1" thickBot="1" x14ac:dyDescent="0.3">
      <c r="A30" s="127"/>
      <c r="B30" s="212" t="s">
        <v>22</v>
      </c>
      <c r="C30" s="212" t="s">
        <v>22</v>
      </c>
      <c r="D30" s="212" t="s">
        <v>23</v>
      </c>
      <c r="E30" s="212" t="s">
        <v>23</v>
      </c>
      <c r="F30" s="213"/>
      <c r="G30" s="129">
        <f>C7</f>
        <v>1000000</v>
      </c>
      <c r="H30" s="130">
        <f>G30+D25</f>
        <v>1550000</v>
      </c>
    </row>
    <row r="31" spans="1:11" s="22" customFormat="1" ht="18" customHeight="1" x14ac:dyDescent="0.25">
      <c r="A31" s="131" t="str">
        <f>A16</f>
        <v>Adrian Zimmermann</v>
      </c>
      <c r="B31" s="132">
        <f>'1. Invest + %'!D31</f>
        <v>1498</v>
      </c>
      <c r="C31" s="133">
        <f>B31/$B$40</f>
        <v>0.749</v>
      </c>
      <c r="D31" s="134">
        <f>B31+G5</f>
        <v>1498</v>
      </c>
      <c r="E31" s="135">
        <f>D31/$D$40</f>
        <v>0.48322580645161289</v>
      </c>
      <c r="F31" s="136">
        <f>E31-C31</f>
        <v>-0.26577419354838711</v>
      </c>
      <c r="G31" s="137">
        <f t="shared" ref="G31:G37" si="10">$G$30*C31</f>
        <v>749000</v>
      </c>
      <c r="H31" s="138">
        <f t="shared" ref="H31:H37" si="11">$H$30*E31</f>
        <v>749000</v>
      </c>
      <c r="J31" s="139"/>
      <c r="K31" s="139"/>
    </row>
    <row r="32" spans="1:11" s="22" customFormat="1" ht="18" customHeight="1" x14ac:dyDescent="0.25">
      <c r="A32" s="131" t="str">
        <f>A17</f>
        <v>Eric Francis Johne</v>
      </c>
      <c r="B32" s="132">
        <f>'1. Invest + %'!D32</f>
        <v>502</v>
      </c>
      <c r="C32" s="133">
        <f>B32/$B$40</f>
        <v>0.251</v>
      </c>
      <c r="D32" s="134">
        <f>B32+G6</f>
        <v>502</v>
      </c>
      <c r="E32" s="135">
        <f>D32/$D$40</f>
        <v>0.16193548387096773</v>
      </c>
      <c r="F32" s="136">
        <f t="shared" ref="F32:F39" si="12">E32-C32</f>
        <v>-8.9064516129032267E-2</v>
      </c>
      <c r="G32" s="140">
        <f t="shared" si="10"/>
        <v>251000</v>
      </c>
      <c r="H32" s="141">
        <f t="shared" si="11"/>
        <v>251000</v>
      </c>
      <c r="J32" s="139"/>
      <c r="K32" s="139"/>
    </row>
    <row r="33" spans="1:11" s="22" customFormat="1" ht="18" customHeight="1" x14ac:dyDescent="0.25">
      <c r="A33" s="131" t="str">
        <f t="shared" ref="A33:A36" si="13">A18</f>
        <v/>
      </c>
      <c r="B33" s="132">
        <f>'1. Invest + %'!D33</f>
        <v>0</v>
      </c>
      <c r="C33" s="133">
        <f t="shared" ref="C33:C36" si="14">B33/$B$40</f>
        <v>0</v>
      </c>
      <c r="D33" s="134">
        <f t="shared" ref="D33:D36" si="15">B33+G7</f>
        <v>0</v>
      </c>
      <c r="E33" s="135">
        <f t="shared" ref="E33:E36" si="16">D33/$D$40</f>
        <v>0</v>
      </c>
      <c r="F33" s="136">
        <f t="shared" ref="F33:F36" si="17">E33-C33</f>
        <v>0</v>
      </c>
      <c r="G33" s="140">
        <f t="shared" ref="G33:G36" si="18">$G$30*C33</f>
        <v>0</v>
      </c>
      <c r="H33" s="141">
        <f t="shared" ref="H33:H36" si="19">$H$30*E33</f>
        <v>0</v>
      </c>
      <c r="J33" s="139"/>
      <c r="K33" s="139"/>
    </row>
    <row r="34" spans="1:11" s="22" customFormat="1" ht="18" customHeight="1" x14ac:dyDescent="0.25">
      <c r="A34" s="131" t="str">
        <f t="shared" si="13"/>
        <v/>
      </c>
      <c r="B34" s="132">
        <f>'1. Invest + %'!D34</f>
        <v>0</v>
      </c>
      <c r="C34" s="133">
        <f t="shared" si="14"/>
        <v>0</v>
      </c>
      <c r="D34" s="134">
        <f t="shared" si="15"/>
        <v>0</v>
      </c>
      <c r="E34" s="135">
        <f t="shared" si="16"/>
        <v>0</v>
      </c>
      <c r="F34" s="136">
        <f t="shared" si="17"/>
        <v>0</v>
      </c>
      <c r="G34" s="140">
        <f t="shared" si="18"/>
        <v>0</v>
      </c>
      <c r="H34" s="141">
        <f t="shared" si="19"/>
        <v>0</v>
      </c>
      <c r="J34" s="139"/>
      <c r="K34" s="139"/>
    </row>
    <row r="35" spans="1:11" ht="18" customHeight="1" x14ac:dyDescent="0.25">
      <c r="A35" s="131" t="str">
        <f t="shared" si="13"/>
        <v/>
      </c>
      <c r="B35" s="132">
        <f>'1. Invest + %'!D35</f>
        <v>0</v>
      </c>
      <c r="C35" s="133">
        <f t="shared" si="14"/>
        <v>0</v>
      </c>
      <c r="D35" s="134">
        <f t="shared" si="15"/>
        <v>0</v>
      </c>
      <c r="E35" s="135">
        <f t="shared" si="16"/>
        <v>0</v>
      </c>
      <c r="F35" s="136">
        <f t="shared" si="17"/>
        <v>0</v>
      </c>
      <c r="G35" s="140">
        <f t="shared" si="18"/>
        <v>0</v>
      </c>
      <c r="H35" s="141">
        <f t="shared" si="19"/>
        <v>0</v>
      </c>
      <c r="I35" s="22"/>
      <c r="J35" s="139"/>
      <c r="K35" s="139"/>
    </row>
    <row r="36" spans="1:11" ht="18" customHeight="1" x14ac:dyDescent="0.25">
      <c r="A36" s="131" t="str">
        <f t="shared" si="13"/>
        <v/>
      </c>
      <c r="B36" s="132">
        <f>'1. Invest + %'!D36</f>
        <v>0</v>
      </c>
      <c r="C36" s="133">
        <f t="shared" si="14"/>
        <v>0</v>
      </c>
      <c r="D36" s="134">
        <f t="shared" si="15"/>
        <v>0</v>
      </c>
      <c r="E36" s="135">
        <f t="shared" si="16"/>
        <v>0</v>
      </c>
      <c r="F36" s="136">
        <f t="shared" si="17"/>
        <v>0</v>
      </c>
      <c r="G36" s="140">
        <f t="shared" si="18"/>
        <v>0</v>
      </c>
      <c r="H36" s="141">
        <f t="shared" si="19"/>
        <v>0</v>
      </c>
      <c r="I36" s="22"/>
      <c r="J36" s="139"/>
      <c r="K36" s="139"/>
    </row>
    <row r="37" spans="1:11" ht="18" customHeight="1" x14ac:dyDescent="0.25">
      <c r="A37" s="131" t="str">
        <f>A22</f>
        <v>Investor I</v>
      </c>
      <c r="B37" s="132">
        <v>0</v>
      </c>
      <c r="C37" s="133">
        <f>B37/$B$40</f>
        <v>0</v>
      </c>
      <c r="D37" s="134">
        <f>B37+G11</f>
        <v>1000</v>
      </c>
      <c r="E37" s="135">
        <f>D37/$D$40</f>
        <v>0.32258064516129031</v>
      </c>
      <c r="F37" s="136">
        <f t="shared" si="12"/>
        <v>0.32258064516129031</v>
      </c>
      <c r="G37" s="140">
        <f t="shared" si="10"/>
        <v>0</v>
      </c>
      <c r="H37" s="141">
        <f t="shared" si="11"/>
        <v>500000</v>
      </c>
      <c r="I37" s="22"/>
      <c r="J37" s="139"/>
      <c r="K37" s="139"/>
    </row>
    <row r="38" spans="1:11" ht="18" customHeight="1" x14ac:dyDescent="0.25">
      <c r="A38" s="131" t="str">
        <f>A23</f>
        <v>Investor II</v>
      </c>
      <c r="B38" s="132">
        <v>0</v>
      </c>
      <c r="C38" s="133">
        <f>B38/$B$40</f>
        <v>0</v>
      </c>
      <c r="D38" s="134">
        <f>B38+G12</f>
        <v>100</v>
      </c>
      <c r="E38" s="135">
        <f>D38/$D$40</f>
        <v>3.2258064516129031E-2</v>
      </c>
      <c r="F38" s="136">
        <f t="shared" ref="F38" si="20">E38-C38</f>
        <v>3.2258064516129031E-2</v>
      </c>
      <c r="G38" s="140">
        <f t="shared" ref="G38" si="21">$G$30*C38</f>
        <v>0</v>
      </c>
      <c r="H38" s="141">
        <f t="shared" ref="H38" si="22">$H$30*E38</f>
        <v>50000</v>
      </c>
      <c r="I38" s="22"/>
      <c r="J38" s="139"/>
      <c r="K38" s="139"/>
    </row>
    <row r="39" spans="1:11" ht="18" customHeight="1" thickBot="1" x14ac:dyDescent="0.3">
      <c r="A39" s="142" t="s">
        <v>28</v>
      </c>
      <c r="B39" s="143"/>
      <c r="C39" s="144"/>
      <c r="D39" s="145">
        <f>SUM(D37:D38)</f>
        <v>1100</v>
      </c>
      <c r="E39" s="146">
        <f>D39/$D$40</f>
        <v>0.35483870967741937</v>
      </c>
      <c r="F39" s="147">
        <f t="shared" si="12"/>
        <v>0.35483870967741937</v>
      </c>
      <c r="G39" s="148"/>
      <c r="H39" s="149"/>
      <c r="I39" s="22"/>
      <c r="J39" s="139"/>
    </row>
    <row r="40" spans="1:11" ht="18" customHeight="1" thickBot="1" x14ac:dyDescent="0.3">
      <c r="A40" s="150" t="s">
        <v>15</v>
      </c>
      <c r="B40" s="151">
        <f t="shared" ref="B40:H40" si="23">SUM(B31:B38)</f>
        <v>2000</v>
      </c>
      <c r="C40" s="206">
        <f t="shared" si="23"/>
        <v>1</v>
      </c>
      <c r="D40" s="151">
        <f t="shared" si="23"/>
        <v>3100</v>
      </c>
      <c r="E40" s="207">
        <f t="shared" si="23"/>
        <v>1</v>
      </c>
      <c r="F40" s="189">
        <f t="shared" si="23"/>
        <v>0</v>
      </c>
      <c r="G40" s="190">
        <f t="shared" si="23"/>
        <v>1000000</v>
      </c>
      <c r="H40" s="191">
        <f t="shared" si="23"/>
        <v>1550000</v>
      </c>
    </row>
    <row r="41" spans="1:11" ht="18" customHeight="1" thickBot="1" x14ac:dyDescent="0.3">
      <c r="A41" s="155"/>
      <c r="B41" s="25"/>
      <c r="C41" s="25"/>
      <c r="D41" s="25"/>
      <c r="E41" s="25"/>
      <c r="F41" s="25"/>
      <c r="G41" s="25"/>
      <c r="H41" s="26"/>
      <c r="I41" s="22"/>
    </row>
    <row r="42" spans="1:11" ht="18" customHeight="1" x14ac:dyDescent="0.25">
      <c r="B42" s="208"/>
      <c r="C42" s="208"/>
      <c r="D42" s="208"/>
      <c r="E42" s="208"/>
      <c r="F42" s="208"/>
      <c r="G42" s="208"/>
      <c r="H42" s="208"/>
    </row>
    <row r="43" spans="1:11" ht="18" customHeight="1" x14ac:dyDescent="0.25">
      <c r="B43" s="208"/>
      <c r="C43" s="208"/>
      <c r="D43" s="208"/>
      <c r="E43" s="208"/>
      <c r="F43" s="208"/>
      <c r="G43" s="208"/>
      <c r="H43" s="208"/>
    </row>
    <row r="44" spans="1:11" ht="18" customHeight="1" x14ac:dyDescent="0.25">
      <c r="B44" s="208"/>
      <c r="C44" s="208"/>
      <c r="D44" s="208"/>
      <c r="E44" s="208"/>
      <c r="F44" s="208"/>
      <c r="G44" s="208"/>
      <c r="H44" s="208"/>
    </row>
    <row r="45" spans="1:11" ht="18" customHeight="1" x14ac:dyDescent="0.25">
      <c r="B45" s="208"/>
      <c r="C45" s="208"/>
      <c r="D45" s="208"/>
      <c r="E45" s="208"/>
      <c r="F45" s="208"/>
      <c r="G45" s="208"/>
      <c r="H45" s="208"/>
    </row>
    <row r="46" spans="1:11" ht="18" customHeight="1" x14ac:dyDescent="0.25">
      <c r="B46" s="208"/>
      <c r="C46" s="209"/>
      <c r="D46" s="208"/>
      <c r="E46" s="208"/>
      <c r="F46" s="208"/>
      <c r="G46" s="208"/>
      <c r="H46" s="208"/>
    </row>
    <row r="47" spans="1:11" ht="18" customHeight="1" x14ac:dyDescent="0.25">
      <c r="B47" s="208"/>
      <c r="C47" s="208"/>
      <c r="D47" s="208"/>
      <c r="E47" s="208"/>
      <c r="F47" s="208"/>
      <c r="G47" s="208"/>
      <c r="H47" s="208"/>
    </row>
    <row r="48" spans="1:11" ht="18" customHeight="1" x14ac:dyDescent="0.25">
      <c r="B48" s="208"/>
      <c r="C48" s="208"/>
      <c r="D48" s="208"/>
      <c r="E48" s="208"/>
      <c r="F48" s="208"/>
      <c r="G48" s="208"/>
      <c r="H48" s="208"/>
    </row>
    <row r="49" spans="2:8" ht="18" customHeight="1" x14ac:dyDescent="0.25">
      <c r="B49" s="208"/>
      <c r="C49" s="208"/>
      <c r="D49" s="208"/>
      <c r="E49" s="208"/>
      <c r="F49" s="208"/>
      <c r="G49" s="208"/>
      <c r="H49" s="208"/>
    </row>
  </sheetData>
  <sheetProtection algorithmName="SHA-512" hashValue="mT+sJZseFrmGh7Qn4Yuv9wYOlaWqUI3K1Kre+Bb/RWWhYipSx8YApbQhTDu0hW2XDlN57A4nM/o9R6OMnvPvuQ==" saltValue="gV/KnTmZxhAFG4f6hRdR3g==" spinCount="100000" sheet="1" selectLockedCells="1"/>
  <mergeCells count="1">
    <mergeCell ref="H3:J3"/>
  </mergeCells>
  <pageMargins left="0.4" right="0.2" top="0.78740157480314965" bottom="0.78740157480314965" header="0.31496062992125984" footer="0.31496062992125984"/>
  <pageSetup paperSize="9" scale="45" orientation="landscape" r:id="rId1"/>
  <ignoredErrors>
    <ignoredError sqref="C2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showGridLines="0" tabSelected="1" topLeftCell="A20" zoomScaleNormal="100" workbookViewId="0">
      <selection activeCell="I8" sqref="I8"/>
    </sheetView>
  </sheetViews>
  <sheetFormatPr baseColWidth="10" defaultColWidth="11.42578125" defaultRowHeight="18" customHeight="1" x14ac:dyDescent="0.25"/>
  <cols>
    <col min="1" max="1" width="40.85546875" style="21" bestFit="1" customWidth="1"/>
    <col min="2" max="2" width="20.7109375" style="21" bestFit="1" customWidth="1"/>
    <col min="3" max="3" width="23.42578125" style="21" bestFit="1" customWidth="1"/>
    <col min="4" max="4" width="35.85546875" style="21" bestFit="1" customWidth="1"/>
    <col min="5" max="5" width="19.140625" style="21" bestFit="1" customWidth="1"/>
    <col min="6" max="6" width="17.7109375" style="21" bestFit="1" customWidth="1"/>
    <col min="7" max="7" width="21.28515625" style="21" bestFit="1" customWidth="1"/>
    <col min="8" max="8" width="27.28515625" style="21" customWidth="1"/>
    <col min="9" max="9" width="20.7109375" style="21" bestFit="1" customWidth="1"/>
    <col min="10" max="10" width="5.28515625" style="21" bestFit="1" customWidth="1"/>
    <col min="11" max="11" width="51.5703125" style="21" customWidth="1"/>
    <col min="12" max="12" width="13.85546875" style="21" customWidth="1"/>
    <col min="13" max="13" width="11.42578125" style="21" customWidth="1"/>
    <col min="14" max="16384" width="11.42578125" style="21"/>
  </cols>
  <sheetData>
    <row r="1" spans="1:12" s="22" customFormat="1" ht="18" customHeight="1" x14ac:dyDescent="0.25">
      <c r="A1" s="18" t="str">
        <f>'2. Invest + Value'!A1</f>
        <v>Sample Ltd.</v>
      </c>
      <c r="B1" s="18" t="str">
        <f>'2. Invest + Value'!B1</f>
        <v>Round A</v>
      </c>
      <c r="C1" s="30"/>
      <c r="D1" s="19"/>
      <c r="E1" s="19"/>
      <c r="F1" s="19"/>
      <c r="G1" s="19"/>
      <c r="H1" s="20"/>
      <c r="I1" s="20"/>
      <c r="J1" s="20"/>
      <c r="K1" s="21"/>
    </row>
    <row r="2" spans="1:12" s="22" customFormat="1" ht="18" customHeight="1" thickBot="1" x14ac:dyDescent="0.3">
      <c r="A2" s="23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s="22" customFormat="1" ht="18" customHeight="1" thickBot="1" x14ac:dyDescent="0.3">
      <c r="A3" s="24" t="s">
        <v>2</v>
      </c>
      <c r="B3" s="25"/>
      <c r="C3" s="26"/>
      <c r="D3" s="24" t="s">
        <v>3</v>
      </c>
      <c r="E3" s="27"/>
      <c r="F3" s="27"/>
      <c r="G3" s="27"/>
      <c r="H3" s="251" t="s">
        <v>24</v>
      </c>
      <c r="I3" s="252"/>
      <c r="J3" s="253"/>
      <c r="K3" s="29"/>
    </row>
    <row r="4" spans="1:12" s="22" customFormat="1" ht="18" customHeight="1" thickBot="1" x14ac:dyDescent="0.3">
      <c r="A4" s="18" t="s">
        <v>4</v>
      </c>
      <c r="B4" s="30"/>
      <c r="C4" s="156"/>
      <c r="D4" s="18" t="s">
        <v>30</v>
      </c>
      <c r="E4" s="18"/>
      <c r="F4" s="157" t="s">
        <v>6</v>
      </c>
      <c r="G4" s="158" t="s">
        <v>7</v>
      </c>
      <c r="H4" s="36" t="s">
        <v>42</v>
      </c>
      <c r="I4" s="159">
        <f>D26</f>
        <v>450000</v>
      </c>
      <c r="J4" s="35"/>
      <c r="K4" s="21"/>
    </row>
    <row r="5" spans="1:12" s="22" customFormat="1" ht="18" customHeight="1" x14ac:dyDescent="0.25">
      <c r="A5" s="36"/>
      <c r="B5" s="37"/>
      <c r="C5" s="38"/>
      <c r="D5" s="160" t="str">
        <f>'2. Invest + Value'!D5</f>
        <v>Adrian Zimmermann</v>
      </c>
      <c r="E5" s="41"/>
      <c r="F5" s="41">
        <f>$C$8</f>
        <v>400</v>
      </c>
      <c r="G5" s="42">
        <f>ROUND((E5/$C$8),0)</f>
        <v>0</v>
      </c>
      <c r="H5" s="161" t="s">
        <v>41</v>
      </c>
      <c r="I5" s="162">
        <f>SUM(I11:I12)</f>
        <v>36</v>
      </c>
      <c r="J5" s="49" t="s">
        <v>27</v>
      </c>
      <c r="K5" s="54"/>
    </row>
    <row r="6" spans="1:12" s="22" customFormat="1" ht="18" customHeight="1" thickBot="1" x14ac:dyDescent="0.3">
      <c r="A6" s="23" t="s">
        <v>7</v>
      </c>
      <c r="C6" s="44">
        <f>B41</f>
        <v>2000</v>
      </c>
      <c r="D6" s="163" t="str">
        <f>'2. Invest + Value'!D6</f>
        <v>Eric Francis Johne</v>
      </c>
      <c r="E6" s="47"/>
      <c r="F6" s="47">
        <f t="shared" ref="F6:F12" si="0">$C$8</f>
        <v>400</v>
      </c>
      <c r="G6" s="164">
        <f t="shared" ref="G6" si="1">ROUND((E6/$C$8),0)</f>
        <v>0</v>
      </c>
      <c r="H6" s="161" t="s">
        <v>25</v>
      </c>
      <c r="I6" s="165">
        <f>I7+I4</f>
        <v>1250000</v>
      </c>
      <c r="J6" s="49"/>
      <c r="K6" s="54"/>
    </row>
    <row r="7" spans="1:12" s="22" customFormat="1" ht="18" customHeight="1" thickBot="1" x14ac:dyDescent="0.3">
      <c r="A7" s="24" t="s">
        <v>8</v>
      </c>
      <c r="B7" s="51"/>
      <c r="C7" s="52">
        <f>IF(I8="",ROUNDUP(I7,-2),I8)</f>
        <v>800000</v>
      </c>
      <c r="D7" s="163" t="str">
        <f>'2. Invest + Value'!D7</f>
        <v/>
      </c>
      <c r="E7" s="47"/>
      <c r="F7" s="47">
        <f t="shared" si="0"/>
        <v>400</v>
      </c>
      <c r="G7" s="164">
        <f t="shared" ref="G7:G10" si="2">ROUND((E7/$C$8),0)</f>
        <v>0</v>
      </c>
      <c r="H7" s="166" t="s">
        <v>26</v>
      </c>
      <c r="I7" s="167">
        <f>C7</f>
        <v>800000</v>
      </c>
      <c r="J7" s="168"/>
      <c r="K7" s="54"/>
    </row>
    <row r="8" spans="1:12" s="22" customFormat="1" ht="18" customHeight="1" thickBot="1" x14ac:dyDescent="0.3">
      <c r="A8" s="23" t="s">
        <v>9</v>
      </c>
      <c r="C8" s="55">
        <f>C7/C6</f>
        <v>400</v>
      </c>
      <c r="D8" s="163" t="str">
        <f>'2. Invest + Value'!D8</f>
        <v/>
      </c>
      <c r="E8" s="47"/>
      <c r="F8" s="47">
        <f t="shared" si="0"/>
        <v>400</v>
      </c>
      <c r="G8" s="164">
        <f t="shared" si="2"/>
        <v>0</v>
      </c>
      <c r="H8" s="169" t="s">
        <v>32</v>
      </c>
      <c r="I8" s="170">
        <v>800000</v>
      </c>
      <c r="J8" s="171"/>
      <c r="K8" s="172" t="s">
        <v>67</v>
      </c>
    </row>
    <row r="9" spans="1:12" s="22" customFormat="1" ht="18" customHeight="1" x14ac:dyDescent="0.25">
      <c r="A9" s="36" t="s">
        <v>10</v>
      </c>
      <c r="B9" s="37"/>
      <c r="C9" s="63">
        <v>-1</v>
      </c>
      <c r="D9" s="163" t="str">
        <f>'2. Invest + Value'!D9</f>
        <v/>
      </c>
      <c r="E9" s="47"/>
      <c r="F9" s="47">
        <f t="shared" si="0"/>
        <v>400</v>
      </c>
      <c r="G9" s="164">
        <f t="shared" si="2"/>
        <v>0</v>
      </c>
    </row>
    <row r="10" spans="1:12" s="22" customFormat="1" ht="18" customHeight="1" thickBot="1" x14ac:dyDescent="0.3">
      <c r="A10" s="71" t="s">
        <v>11</v>
      </c>
      <c r="B10" s="72"/>
      <c r="C10" s="73">
        <f>SUM(C8:C9)</f>
        <v>399</v>
      </c>
      <c r="D10" s="163" t="str">
        <f>'2. Invest + Value'!D10</f>
        <v/>
      </c>
      <c r="E10" s="47"/>
      <c r="F10" s="47">
        <f t="shared" si="0"/>
        <v>400</v>
      </c>
      <c r="G10" s="164">
        <f t="shared" si="2"/>
        <v>0</v>
      </c>
    </row>
    <row r="11" spans="1:12" s="22" customFormat="1" ht="18" customHeight="1" x14ac:dyDescent="0.25">
      <c r="A11" s="81"/>
      <c r="C11" s="82"/>
      <c r="D11" s="160" t="str">
        <f>'2. Invest + Value'!D11</f>
        <v>Investor I</v>
      </c>
      <c r="E11" s="66">
        <f>F11*G11</f>
        <v>300000</v>
      </c>
      <c r="F11" s="66">
        <f t="shared" si="0"/>
        <v>400</v>
      </c>
      <c r="G11" s="67">
        <f>D38</f>
        <v>750</v>
      </c>
      <c r="H11" s="173" t="s">
        <v>29</v>
      </c>
      <c r="I11" s="219">
        <v>24</v>
      </c>
      <c r="J11" s="217" t="s">
        <v>27</v>
      </c>
      <c r="K11" s="70" t="s">
        <v>69</v>
      </c>
    </row>
    <row r="12" spans="1:12" s="22" customFormat="1" ht="18" customHeight="1" thickBot="1" x14ac:dyDescent="0.3">
      <c r="A12" s="174"/>
      <c r="C12" s="82"/>
      <c r="D12" s="163" t="str">
        <f>'2. Invest + Value'!D12</f>
        <v>Investor II</v>
      </c>
      <c r="E12" s="175">
        <f>F12*G12</f>
        <v>150000</v>
      </c>
      <c r="F12" s="175">
        <f t="shared" si="0"/>
        <v>400</v>
      </c>
      <c r="G12" s="176">
        <f>D39</f>
        <v>375</v>
      </c>
      <c r="H12" s="177" t="s">
        <v>29</v>
      </c>
      <c r="I12" s="220">
        <v>12</v>
      </c>
      <c r="J12" s="218" t="s">
        <v>27</v>
      </c>
      <c r="K12" s="80" t="s">
        <v>68</v>
      </c>
      <c r="L12" s="21"/>
    </row>
    <row r="13" spans="1:12" s="22" customFormat="1" ht="18" customHeight="1" thickBot="1" x14ac:dyDescent="0.3">
      <c r="A13" s="174"/>
      <c r="C13" s="58"/>
      <c r="D13" s="178" t="s">
        <v>31</v>
      </c>
      <c r="E13" s="76">
        <f>SUM(E11:E12)</f>
        <v>450000</v>
      </c>
      <c r="F13" s="76"/>
      <c r="G13" s="179">
        <f>SUM(G11:G12)</f>
        <v>1125</v>
      </c>
      <c r="H13" s="85"/>
      <c r="K13" s="54"/>
      <c r="L13" s="21"/>
    </row>
    <row r="14" spans="1:12" s="22" customFormat="1" ht="18" customHeight="1" thickBot="1" x14ac:dyDescent="0.3">
      <c r="A14" s="180"/>
      <c r="B14" s="181"/>
      <c r="C14" s="182"/>
      <c r="D14" s="21"/>
      <c r="E14" s="21"/>
      <c r="F14" s="21"/>
      <c r="G14" s="21"/>
      <c r="H14" s="21"/>
      <c r="I14" s="21"/>
      <c r="J14" s="21"/>
      <c r="K14" s="21"/>
      <c r="L14" s="21"/>
    </row>
    <row r="15" spans="1:12" s="22" customFormat="1" ht="18" customHeight="1" thickBot="1" x14ac:dyDescent="0.3">
      <c r="A15" s="24" t="s">
        <v>12</v>
      </c>
      <c r="B15" s="25"/>
      <c r="C15" s="25"/>
      <c r="D15" s="86"/>
      <c r="E15" s="87"/>
      <c r="F15" s="21"/>
    </row>
    <row r="16" spans="1:12" ht="18" customHeight="1" thickBot="1" x14ac:dyDescent="0.3">
      <c r="A16" s="88" t="s">
        <v>0</v>
      </c>
      <c r="B16" s="33" t="s">
        <v>13</v>
      </c>
      <c r="C16" s="28" t="s">
        <v>14</v>
      </c>
      <c r="D16" s="89" t="s">
        <v>15</v>
      </c>
      <c r="E16" s="29"/>
      <c r="F16" s="90"/>
      <c r="L16" s="91"/>
    </row>
    <row r="17" spans="1:11" ht="18" customHeight="1" x14ac:dyDescent="0.25">
      <c r="A17" s="104" t="str">
        <f>D5</f>
        <v>Adrian Zimmermann</v>
      </c>
      <c r="B17" s="93">
        <f t="shared" ref="B17:B18" si="3">IF(E5&lt;1,0,ROUND(G5,0))</f>
        <v>0</v>
      </c>
      <c r="C17" s="94" t="str">
        <f t="shared" ref="C17:C18" si="4">IF(E5&lt;1,"",E5-B17)</f>
        <v/>
      </c>
      <c r="D17" s="183" t="str">
        <f t="shared" ref="D17:D18" si="5">IF(E5&lt;1,"",B17+C17)</f>
        <v/>
      </c>
      <c r="E17" s="58"/>
      <c r="F17" s="96"/>
      <c r="G17" s="97"/>
    </row>
    <row r="18" spans="1:11" ht="18" customHeight="1" x14ac:dyDescent="0.25">
      <c r="A18" s="104" t="str">
        <f t="shared" ref="A18" si="6">D6</f>
        <v>Eric Francis Johne</v>
      </c>
      <c r="B18" s="93">
        <f t="shared" si="3"/>
        <v>0</v>
      </c>
      <c r="C18" s="94" t="str">
        <f t="shared" si="4"/>
        <v/>
      </c>
      <c r="D18" s="183" t="str">
        <f t="shared" si="5"/>
        <v/>
      </c>
      <c r="E18" s="58"/>
      <c r="F18" s="98"/>
      <c r="G18" s="99"/>
    </row>
    <row r="19" spans="1:11" ht="18" customHeight="1" x14ac:dyDescent="0.25">
      <c r="A19" s="104" t="str">
        <f t="shared" ref="A19:A23" si="7">D7</f>
        <v/>
      </c>
      <c r="B19" s="93">
        <f t="shared" ref="B19:B22" si="8">IF(E7&lt;1,0,ROUND(G7,0))</f>
        <v>0</v>
      </c>
      <c r="C19" s="94" t="str">
        <f t="shared" ref="C19:C22" si="9">IF(E7&lt;1,"",E7-B19)</f>
        <v/>
      </c>
      <c r="D19" s="183" t="str">
        <f t="shared" ref="D19:D22" si="10">IF(E7&lt;1,"",B19+C19)</f>
        <v/>
      </c>
      <c r="E19" s="58"/>
      <c r="F19" s="98"/>
      <c r="G19" s="99"/>
    </row>
    <row r="20" spans="1:11" ht="18" customHeight="1" x14ac:dyDescent="0.25">
      <c r="A20" s="104" t="str">
        <f t="shared" si="7"/>
        <v/>
      </c>
      <c r="B20" s="93">
        <f t="shared" si="8"/>
        <v>0</v>
      </c>
      <c r="C20" s="94" t="str">
        <f t="shared" si="9"/>
        <v/>
      </c>
      <c r="D20" s="183" t="str">
        <f t="shared" si="10"/>
        <v/>
      </c>
      <c r="E20" s="58"/>
      <c r="F20" s="98"/>
      <c r="G20" s="99"/>
    </row>
    <row r="21" spans="1:11" s="22" customFormat="1" ht="18" customHeight="1" x14ac:dyDescent="0.25">
      <c r="A21" s="104" t="str">
        <f t="shared" si="7"/>
        <v/>
      </c>
      <c r="B21" s="93">
        <f t="shared" si="8"/>
        <v>0</v>
      </c>
      <c r="C21" s="94" t="str">
        <f t="shared" si="9"/>
        <v/>
      </c>
      <c r="D21" s="183" t="str">
        <f t="shared" si="10"/>
        <v/>
      </c>
      <c r="E21" s="101"/>
      <c r="F21" s="102"/>
      <c r="G21" s="103"/>
      <c r="I21" s="139"/>
    </row>
    <row r="22" spans="1:11" s="22" customFormat="1" ht="18" customHeight="1" x14ac:dyDescent="0.25">
      <c r="A22" s="104" t="str">
        <f t="shared" si="7"/>
        <v/>
      </c>
      <c r="B22" s="93">
        <f t="shared" si="8"/>
        <v>0</v>
      </c>
      <c r="C22" s="94" t="str">
        <f t="shared" si="9"/>
        <v/>
      </c>
      <c r="D22" s="183" t="str">
        <f t="shared" si="10"/>
        <v/>
      </c>
      <c r="E22" s="101"/>
      <c r="F22" s="102"/>
      <c r="G22" s="103"/>
    </row>
    <row r="23" spans="1:11" s="22" customFormat="1" ht="18" customHeight="1" x14ac:dyDescent="0.25">
      <c r="A23" s="104" t="str">
        <f t="shared" si="7"/>
        <v>Investor I</v>
      </c>
      <c r="B23" s="93">
        <f>IF(E11&lt;1,0,ROUND(G11,0))</f>
        <v>750</v>
      </c>
      <c r="C23" s="94">
        <f>IF(E11&lt;1,"",E11-B23)</f>
        <v>299250</v>
      </c>
      <c r="D23" s="183">
        <f>IF(E11&lt;1,"",B23+C23)</f>
        <v>300000</v>
      </c>
      <c r="E23" s="101"/>
      <c r="F23" s="102"/>
      <c r="G23" s="108"/>
    </row>
    <row r="24" spans="1:11" s="22" customFormat="1" ht="18" customHeight="1" x14ac:dyDescent="0.25">
      <c r="A24" s="104" t="str">
        <f t="shared" ref="A24" si="11">D12</f>
        <v>Investor II</v>
      </c>
      <c r="B24" s="93">
        <f>D39</f>
        <v>375</v>
      </c>
      <c r="C24" s="94">
        <f>IF(E12&lt;1,"",E12-B24)</f>
        <v>149625</v>
      </c>
      <c r="D24" s="183">
        <f>IF(E12&lt;1,"",B24+C24)</f>
        <v>150000</v>
      </c>
      <c r="E24" s="101"/>
      <c r="F24" s="109"/>
      <c r="G24" s="110"/>
    </row>
    <row r="25" spans="1:11" s="22" customFormat="1" ht="18" customHeight="1" thickBot="1" x14ac:dyDescent="0.3">
      <c r="A25" s="92"/>
      <c r="B25" s="93"/>
      <c r="C25" s="94"/>
      <c r="D25" s="183"/>
      <c r="E25" s="58"/>
    </row>
    <row r="26" spans="1:11" s="22" customFormat="1" ht="18" customHeight="1" thickBot="1" x14ac:dyDescent="0.3">
      <c r="A26" s="112" t="s">
        <v>16</v>
      </c>
      <c r="B26" s="113">
        <f>SUM(B21:B25)</f>
        <v>1125</v>
      </c>
      <c r="C26" s="114">
        <f>SUM(C17:C25)</f>
        <v>448875</v>
      </c>
      <c r="D26" s="184">
        <f>SUM(D21:D25)</f>
        <v>450000</v>
      </c>
    </row>
    <row r="27" spans="1:11" s="22" customFormat="1" ht="18" customHeight="1" thickBot="1" x14ac:dyDescent="0.3">
      <c r="A27" s="112" t="s">
        <v>17</v>
      </c>
      <c r="B27" s="115">
        <f>C6+B26</f>
        <v>3125</v>
      </c>
      <c r="C27" s="116"/>
      <c r="D27" s="117"/>
      <c r="E27" s="58"/>
      <c r="F27" s="118"/>
      <c r="G27" s="118"/>
      <c r="H27" s="118"/>
      <c r="I27" s="21"/>
      <c r="J27" s="21"/>
      <c r="K27" s="21"/>
    </row>
    <row r="28" spans="1:11" s="22" customFormat="1" ht="18" customHeight="1" thickBot="1" x14ac:dyDescent="0.3">
      <c r="A28" s="23"/>
      <c r="B28" s="21"/>
      <c r="C28" s="21"/>
      <c r="D28" s="21"/>
      <c r="E28" s="21"/>
      <c r="F28" s="21"/>
      <c r="G28" s="21"/>
      <c r="H28" s="21"/>
      <c r="I28" s="21"/>
    </row>
    <row r="29" spans="1:11" s="22" customFormat="1" ht="18" customHeight="1" thickBot="1" x14ac:dyDescent="0.3">
      <c r="A29" s="185" t="s">
        <v>18</v>
      </c>
      <c r="B29" s="120"/>
      <c r="C29" s="120"/>
      <c r="D29" s="120"/>
      <c r="E29" s="120"/>
      <c r="F29" s="120"/>
      <c r="G29" s="121"/>
      <c r="H29" s="122"/>
    </row>
    <row r="30" spans="1:11" s="22" customFormat="1" ht="18" customHeight="1" x14ac:dyDescent="0.25">
      <c r="A30" s="185" t="s">
        <v>0</v>
      </c>
      <c r="B30" s="123" t="s">
        <v>7</v>
      </c>
      <c r="C30" s="123" t="s">
        <v>19</v>
      </c>
      <c r="D30" s="123" t="s">
        <v>7</v>
      </c>
      <c r="E30" s="123" t="s">
        <v>19</v>
      </c>
      <c r="F30" s="124" t="s">
        <v>1</v>
      </c>
      <c r="G30" s="125" t="s">
        <v>20</v>
      </c>
      <c r="H30" s="126" t="s">
        <v>21</v>
      </c>
    </row>
    <row r="31" spans="1:11" s="22" customFormat="1" ht="18" customHeight="1" thickBot="1" x14ac:dyDescent="0.3">
      <c r="A31" s="127"/>
      <c r="B31" s="128" t="s">
        <v>22</v>
      </c>
      <c r="C31" s="128" t="s">
        <v>22</v>
      </c>
      <c r="D31" s="128" t="s">
        <v>23</v>
      </c>
      <c r="E31" s="128" t="s">
        <v>23</v>
      </c>
      <c r="F31" s="186"/>
      <c r="G31" s="187">
        <f>C7</f>
        <v>800000</v>
      </c>
      <c r="H31" s="188">
        <f>G31+D26</f>
        <v>1250000</v>
      </c>
    </row>
    <row r="32" spans="1:11" s="22" customFormat="1" ht="18" customHeight="1" x14ac:dyDescent="0.25">
      <c r="A32" s="131" t="str">
        <f>A17</f>
        <v>Adrian Zimmermann</v>
      </c>
      <c r="B32" s="132">
        <f>'2. Invest + Value'!B31</f>
        <v>1498</v>
      </c>
      <c r="C32" s="133">
        <f>B32/$B$41</f>
        <v>0.749</v>
      </c>
      <c r="D32" s="134">
        <f>B32+G5</f>
        <v>1498</v>
      </c>
      <c r="E32" s="135">
        <f>D32/$D$41</f>
        <v>0.47936000000000001</v>
      </c>
      <c r="F32" s="136">
        <f>E32-C32</f>
        <v>-0.26963999999999999</v>
      </c>
      <c r="G32" s="137">
        <f t="shared" ref="G32:G38" si="12">$G$31*C32</f>
        <v>599200</v>
      </c>
      <c r="H32" s="138">
        <f t="shared" ref="H32:H38" si="13">$H$31*E32</f>
        <v>599200</v>
      </c>
      <c r="J32" s="139"/>
      <c r="K32" s="139"/>
    </row>
    <row r="33" spans="1:11" s="22" customFormat="1" ht="18" customHeight="1" x14ac:dyDescent="0.25">
      <c r="A33" s="131" t="str">
        <f>A18</f>
        <v>Eric Francis Johne</v>
      </c>
      <c r="B33" s="132">
        <f>'2. Invest + Value'!B32</f>
        <v>502</v>
      </c>
      <c r="C33" s="133">
        <f>B33/$B$41</f>
        <v>0.251</v>
      </c>
      <c r="D33" s="134">
        <f t="shared" ref="D33" si="14">B33+G6</f>
        <v>502</v>
      </c>
      <c r="E33" s="135">
        <f>D33/$D$41</f>
        <v>0.16064000000000001</v>
      </c>
      <c r="F33" s="136">
        <f t="shared" ref="F33:F38" si="15">E33-C33</f>
        <v>-9.0359999999999996E-2</v>
      </c>
      <c r="G33" s="140">
        <f t="shared" si="12"/>
        <v>200800</v>
      </c>
      <c r="H33" s="141">
        <f t="shared" si="13"/>
        <v>200800</v>
      </c>
      <c r="J33" s="139"/>
      <c r="K33" s="139"/>
    </row>
    <row r="34" spans="1:11" s="22" customFormat="1" ht="18" customHeight="1" x14ac:dyDescent="0.25">
      <c r="A34" s="131" t="str">
        <f t="shared" ref="A34:A37" si="16">A19</f>
        <v/>
      </c>
      <c r="B34" s="132">
        <f>'2. Invest + Value'!B33</f>
        <v>0</v>
      </c>
      <c r="C34" s="133">
        <f t="shared" ref="C34:C37" si="17">B34/$B$41</f>
        <v>0</v>
      </c>
      <c r="D34" s="134">
        <f t="shared" ref="D34:D37" si="18">B34+G7</f>
        <v>0</v>
      </c>
      <c r="E34" s="135">
        <f t="shared" ref="E34:E37" si="19">D34/$D$41</f>
        <v>0</v>
      </c>
      <c r="F34" s="136">
        <f t="shared" ref="F34:F37" si="20">E34-C34</f>
        <v>0</v>
      </c>
      <c r="G34" s="140">
        <f t="shared" ref="G34:G37" si="21">$G$31*C34</f>
        <v>0</v>
      </c>
      <c r="H34" s="141">
        <f t="shared" ref="H34:H37" si="22">$H$31*E34</f>
        <v>0</v>
      </c>
      <c r="J34" s="139"/>
      <c r="K34" s="139"/>
    </row>
    <row r="35" spans="1:11" s="22" customFormat="1" ht="18" customHeight="1" x14ac:dyDescent="0.25">
      <c r="A35" s="131" t="str">
        <f t="shared" si="16"/>
        <v/>
      </c>
      <c r="B35" s="132">
        <f>'2. Invest + Value'!B34</f>
        <v>0</v>
      </c>
      <c r="C35" s="133">
        <f t="shared" si="17"/>
        <v>0</v>
      </c>
      <c r="D35" s="134">
        <f t="shared" si="18"/>
        <v>0</v>
      </c>
      <c r="E35" s="135">
        <f t="shared" si="19"/>
        <v>0</v>
      </c>
      <c r="F35" s="136">
        <f t="shared" si="20"/>
        <v>0</v>
      </c>
      <c r="G35" s="140">
        <f t="shared" si="21"/>
        <v>0</v>
      </c>
      <c r="H35" s="141">
        <f t="shared" si="22"/>
        <v>0</v>
      </c>
      <c r="J35" s="139"/>
      <c r="K35" s="139"/>
    </row>
    <row r="36" spans="1:11" ht="18" customHeight="1" x14ac:dyDescent="0.25">
      <c r="A36" s="131" t="str">
        <f t="shared" si="16"/>
        <v/>
      </c>
      <c r="B36" s="132">
        <f>'2. Invest + Value'!B35</f>
        <v>0</v>
      </c>
      <c r="C36" s="133">
        <f t="shared" si="17"/>
        <v>0</v>
      </c>
      <c r="D36" s="134">
        <f t="shared" si="18"/>
        <v>0</v>
      </c>
      <c r="E36" s="135">
        <f t="shared" si="19"/>
        <v>0</v>
      </c>
      <c r="F36" s="136">
        <f t="shared" si="20"/>
        <v>0</v>
      </c>
      <c r="G36" s="140">
        <f t="shared" si="21"/>
        <v>0</v>
      </c>
      <c r="H36" s="141">
        <f t="shared" si="22"/>
        <v>0</v>
      </c>
      <c r="I36" s="22"/>
      <c r="J36" s="139"/>
      <c r="K36" s="139"/>
    </row>
    <row r="37" spans="1:11" ht="18" customHeight="1" x14ac:dyDescent="0.25">
      <c r="A37" s="131" t="str">
        <f t="shared" si="16"/>
        <v/>
      </c>
      <c r="B37" s="132">
        <f>'2. Invest + Value'!B36</f>
        <v>0</v>
      </c>
      <c r="C37" s="133">
        <f t="shared" si="17"/>
        <v>0</v>
      </c>
      <c r="D37" s="134">
        <f t="shared" si="18"/>
        <v>0</v>
      </c>
      <c r="E37" s="135">
        <f t="shared" si="19"/>
        <v>0</v>
      </c>
      <c r="F37" s="136">
        <f t="shared" si="20"/>
        <v>0</v>
      </c>
      <c r="G37" s="140">
        <f t="shared" si="21"/>
        <v>0</v>
      </c>
      <c r="H37" s="141">
        <f t="shared" si="22"/>
        <v>0</v>
      </c>
      <c r="I37" s="22"/>
      <c r="J37" s="139"/>
      <c r="K37" s="139"/>
    </row>
    <row r="38" spans="1:11" ht="18" customHeight="1" x14ac:dyDescent="0.25">
      <c r="A38" s="131" t="str">
        <f>A23</f>
        <v>Investor I</v>
      </c>
      <c r="B38" s="132"/>
      <c r="C38" s="133">
        <f>B38/$B$41</f>
        <v>0</v>
      </c>
      <c r="D38" s="134">
        <f>D45/100*I11</f>
        <v>750</v>
      </c>
      <c r="E38" s="135">
        <f>D38/$D$41</f>
        <v>0.24</v>
      </c>
      <c r="F38" s="136">
        <f t="shared" si="15"/>
        <v>0.24</v>
      </c>
      <c r="G38" s="140">
        <f t="shared" si="12"/>
        <v>0</v>
      </c>
      <c r="H38" s="141">
        <f t="shared" si="13"/>
        <v>300000</v>
      </c>
      <c r="I38" s="22"/>
      <c r="J38" s="139"/>
      <c r="K38" s="139"/>
    </row>
    <row r="39" spans="1:11" ht="18" customHeight="1" x14ac:dyDescent="0.25">
      <c r="A39" s="131" t="str">
        <f>A24</f>
        <v>Investor II</v>
      </c>
      <c r="B39" s="132"/>
      <c r="C39" s="133">
        <f>B39/$B$41</f>
        <v>0</v>
      </c>
      <c r="D39" s="134">
        <f>D45/100*I12</f>
        <v>375</v>
      </c>
      <c r="E39" s="135">
        <f>D39/$D$41</f>
        <v>0.12</v>
      </c>
      <c r="F39" s="136">
        <f t="shared" ref="F39" si="23">E39-C39</f>
        <v>0.12</v>
      </c>
      <c r="G39" s="140">
        <f t="shared" ref="G39" si="24">$G$31*C39</f>
        <v>0</v>
      </c>
      <c r="H39" s="141">
        <f t="shared" ref="H39" si="25">$H$31*E39</f>
        <v>150000</v>
      </c>
      <c r="I39" s="22"/>
      <c r="J39" s="139"/>
      <c r="K39" s="139"/>
    </row>
    <row r="40" spans="1:11" ht="18" customHeight="1" thickBot="1" x14ac:dyDescent="0.3">
      <c r="A40" s="142" t="s">
        <v>28</v>
      </c>
      <c r="B40" s="143"/>
      <c r="C40" s="144"/>
      <c r="D40" s="145">
        <f>ROUND(D45-B41,0)</f>
        <v>1125</v>
      </c>
      <c r="E40" s="146">
        <f>D40/$D$41</f>
        <v>0.36</v>
      </c>
      <c r="F40" s="147">
        <f>E40-C40</f>
        <v>0.36</v>
      </c>
      <c r="G40" s="148"/>
      <c r="H40" s="149"/>
      <c r="I40" s="22"/>
      <c r="J40" s="139"/>
    </row>
    <row r="41" spans="1:11" ht="18" customHeight="1" thickBot="1" x14ac:dyDescent="0.3">
      <c r="A41" s="150" t="s">
        <v>15</v>
      </c>
      <c r="B41" s="151">
        <f>SUM(B32:B39)</f>
        <v>2000</v>
      </c>
      <c r="C41" s="152">
        <f t="shared" ref="C41:E41" si="26">SUM(C32:C39)</f>
        <v>1</v>
      </c>
      <c r="D41" s="151">
        <f t="shared" si="26"/>
        <v>3125</v>
      </c>
      <c r="E41" s="152">
        <f t="shared" si="26"/>
        <v>1</v>
      </c>
      <c r="F41" s="189">
        <f>SUM(F32:F39)</f>
        <v>0</v>
      </c>
      <c r="G41" s="190">
        <f>SUM(G32:G39)</f>
        <v>800000</v>
      </c>
      <c r="H41" s="191">
        <f>SUM(H32:H39)</f>
        <v>1250000</v>
      </c>
    </row>
    <row r="42" spans="1:11" ht="18" customHeight="1" thickBot="1" x14ac:dyDescent="0.3">
      <c r="A42" s="155"/>
      <c r="B42" s="25"/>
      <c r="C42" s="25"/>
      <c r="D42" s="25"/>
      <c r="E42" s="25"/>
      <c r="F42" s="25"/>
      <c r="G42" s="25"/>
      <c r="H42" s="26"/>
      <c r="I42" s="22"/>
    </row>
    <row r="43" spans="1:11" ht="18" hidden="1" customHeight="1" x14ac:dyDescent="0.25">
      <c r="D43" s="192">
        <f>C6</f>
        <v>2000</v>
      </c>
      <c r="E43" s="193">
        <f>100-I5</f>
        <v>64</v>
      </c>
    </row>
    <row r="44" spans="1:11" ht="18" hidden="1" customHeight="1" x14ac:dyDescent="0.25">
      <c r="D44" s="192">
        <f>D43/E43*100</f>
        <v>3125</v>
      </c>
    </row>
    <row r="45" spans="1:11" ht="18" hidden="1" customHeight="1" x14ac:dyDescent="0.25">
      <c r="D45" s="84">
        <f>B41/E45*100</f>
        <v>3125</v>
      </c>
      <c r="E45" s="193">
        <f>100-I5</f>
        <v>64</v>
      </c>
    </row>
    <row r="46" spans="1:11" ht="18" hidden="1" customHeight="1" x14ac:dyDescent="0.25"/>
    <row r="47" spans="1:11" ht="18" customHeight="1" x14ac:dyDescent="0.25">
      <c r="C47" s="58"/>
    </row>
  </sheetData>
  <sheetProtection algorithmName="SHA-512" hashValue="fPqcgqcmVEhfsVWSRArjkzus/OfyD5VD4LwJeykXEjb3iOxjZkPqVq/fNNC3Tx+R4+QCn9xWc5W6PRhN1IgUwA==" saltValue="xggDQm8GMBC64TWbEMFNKQ==" spinCount="100000" sheet="1" selectLockedCells="1"/>
  <mergeCells count="1">
    <mergeCell ref="H3:J3"/>
  </mergeCells>
  <pageMargins left="0.7" right="0.7" top="0.78740157499999996" bottom="0.78740157499999996" header="0.3" footer="0.3"/>
  <pageSetup paperSize="9" scale="4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Notes + Master data</vt:lpstr>
      <vt:lpstr>1. Invest + %</vt:lpstr>
      <vt:lpstr>2. Invest + Value</vt:lpstr>
      <vt:lpstr>3. Value + 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Melanie Gauthier</cp:lastModifiedBy>
  <cp:lastPrinted>2024-08-14T11:08:37Z</cp:lastPrinted>
  <dcterms:created xsi:type="dcterms:W3CDTF">2009-09-11T15:29:57Z</dcterms:created>
  <dcterms:modified xsi:type="dcterms:W3CDTF">2024-09-10T08:04:26Z</dcterms:modified>
</cp:coreProperties>
</file>